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uilar\Documents\Marisol Mis Documentos\Marisol\4.Boletines\"/>
    </mc:Choice>
  </mc:AlternateContent>
  <xr:revisionPtr revIDLastSave="0" documentId="8_{0CFA53A7-CC99-440A-AA63-56070C09E148}" xr6:coauthVersionLast="45" xr6:coauthVersionMax="45" xr10:uidLastSave="{00000000-0000-0000-0000-000000000000}"/>
  <bookViews>
    <workbookView xWindow="-120" yWindow="-120" windowWidth="24240" windowHeight="13740" xr2:uid="{0FEB96B1-067B-4EBD-833D-C6808DCE0705}"/>
  </bookViews>
  <sheets>
    <sheet name="C0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key2" localSheetId="0" hidden="1">#REF!</definedName>
    <definedName name="______________________key2" hidden="1">#REF!</definedName>
    <definedName name="______________________R" localSheetId="0">#REF!</definedName>
    <definedName name="______________________R">#REF!</definedName>
    <definedName name="_____________________key2" localSheetId="0" hidden="1">#REF!</definedName>
    <definedName name="_____________________key2" hidden="1">#REF!</definedName>
    <definedName name="_____________________R" localSheetId="0">#REF!</definedName>
    <definedName name="_____________________R">#REF!</definedName>
    <definedName name="____________________key2" localSheetId="0" hidden="1">#REF!</definedName>
    <definedName name="____________________key2" hidden="1">#REF!</definedName>
    <definedName name="____________________R" localSheetId="0">#REF!</definedName>
    <definedName name="____________________R">#REF!</definedName>
    <definedName name="___________________R" localSheetId="0">#REF!</definedName>
    <definedName name="___________________R">#REF!</definedName>
    <definedName name="__________________key2" localSheetId="0" hidden="1">#REF!</definedName>
    <definedName name="__________________key2" hidden="1">#REF!</definedName>
    <definedName name="__________________R" localSheetId="0">#REF!</definedName>
    <definedName name="__________________R">#REF!</definedName>
    <definedName name="_________________R" localSheetId="0">#REF!</definedName>
    <definedName name="_________________R">#REF!</definedName>
    <definedName name="________________key2" localSheetId="0" hidden="1">#REF!</definedName>
    <definedName name="________________key2" hidden="1">#REF!</definedName>
    <definedName name="________________R" localSheetId="0">#REF!</definedName>
    <definedName name="________________R">#REF!</definedName>
    <definedName name="_______________key2" localSheetId="0" hidden="1">#REF!</definedName>
    <definedName name="_______________key2" hidden="1">#REF!</definedName>
    <definedName name="_______________R" localSheetId="0">#REF!</definedName>
    <definedName name="_______________R">#REF!</definedName>
    <definedName name="______________key2" localSheetId="0" hidden="1">#REF!</definedName>
    <definedName name="______________key2" hidden="1">#REF!</definedName>
    <definedName name="______________R" localSheetId="0">#REF!</definedName>
    <definedName name="______________R">#REF!</definedName>
    <definedName name="_____________key2" localSheetId="0" hidden="1">#REF!</definedName>
    <definedName name="_____________key2" hidden="1">#REF!</definedName>
    <definedName name="_____________R" localSheetId="0">#REF!</definedName>
    <definedName name="_____________R">#REF!</definedName>
    <definedName name="____________key2" localSheetId="0" hidden="1">#REF!</definedName>
    <definedName name="____________key2" hidden="1">#REF!</definedName>
    <definedName name="____________R" localSheetId="0">#REF!</definedName>
    <definedName name="____________R">#REF!</definedName>
    <definedName name="___________key2" localSheetId="0" hidden="1">#REF!</definedName>
    <definedName name="___________key2" hidden="1">#REF!</definedName>
    <definedName name="___________R" localSheetId="0">#REF!</definedName>
    <definedName name="___________R">#REF!</definedName>
    <definedName name="__________key2" localSheetId="0" hidden="1">#REF!</definedName>
    <definedName name="__________key2" hidden="1">#REF!</definedName>
    <definedName name="__________R" localSheetId="0">#REF!</definedName>
    <definedName name="__________R">#REF!</definedName>
    <definedName name="_________key2" localSheetId="0" hidden="1">#REF!</definedName>
    <definedName name="_________key2" hidden="1">#REF!</definedName>
    <definedName name="_________R" localSheetId="0">#REF!</definedName>
    <definedName name="_________R">#REF!</definedName>
    <definedName name="________key2" localSheetId="0" hidden="1">#REF!</definedName>
    <definedName name="________key2" hidden="1">#REF!</definedName>
    <definedName name="________R" localSheetId="0">#REF!</definedName>
    <definedName name="________R">#REF!</definedName>
    <definedName name="_______key2" localSheetId="0" hidden="1">#REF!</definedName>
    <definedName name="_______key2" hidden="1">#REF!</definedName>
    <definedName name="_______R" localSheetId="0">#REF!</definedName>
    <definedName name="_______R">#REF!</definedName>
    <definedName name="______key2" localSheetId="0" hidden="1">#REF!</definedName>
    <definedName name="______key2" hidden="1">#REF!</definedName>
    <definedName name="______R" localSheetId="0">#REF!</definedName>
    <definedName name="______R">#REF!</definedName>
    <definedName name="_____key2" localSheetId="0" hidden="1">#REF!</definedName>
    <definedName name="_____key2" hidden="1">#REF!</definedName>
    <definedName name="_____R" localSheetId="0">#REF!</definedName>
    <definedName name="_____R">#REF!</definedName>
    <definedName name="____key2" localSheetId="0" hidden="1">#REF!</definedName>
    <definedName name="____key2" hidden="1">#REF!</definedName>
    <definedName name="____R" localSheetId="0">#REF!</definedName>
    <definedName name="____R">#REF!</definedName>
    <definedName name="___key2" localSheetId="0" hidden="1">#REF!</definedName>
    <definedName name="___key2" hidden="1">#REF!</definedName>
    <definedName name="___R" localSheetId="0">#REF!</definedName>
    <definedName name="___R">#REF!</definedName>
    <definedName name="__key2" localSheetId="0" hidden="1">#REF!</definedName>
    <definedName name="__key2" hidden="1">#REF!</definedName>
    <definedName name="__R" localSheetId="0">#REF!</definedName>
    <definedName name="__R">#REF!</definedName>
    <definedName name="_14" localSheetId="0" hidden="1">#REF!</definedName>
    <definedName name="_14" hidden="1">#REF!</definedName>
    <definedName name="_30" localSheetId="0" hidden="1">#REF!</definedName>
    <definedName name="_30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255</definedName>
    <definedName name="_R" localSheetId="0">#REF!</definedName>
    <definedName name="_R">#REF!</definedName>
    <definedName name="_Sort" localSheetId="0" hidden="1">#REF!</definedName>
    <definedName name="_Sort" hidden="1">#REF!</definedName>
    <definedName name="A_impresión_IM" localSheetId="0">#REF!</definedName>
    <definedName name="A_impresión_IM">#REF!</definedName>
    <definedName name="adolescentes" localSheetId="0" hidden="1">#REF!</definedName>
    <definedName name="adolescentes" hidden="1">#REF!</definedName>
    <definedName name="_xlnm.Print_Area" localSheetId="0">'C09'!$A$1:$N$143</definedName>
    <definedName name="_xlnm.Print_Area">#REF!</definedName>
    <definedName name="_xlnm.Database" localSheetId="0">#REF!</definedName>
    <definedName name="_xlnm.Database">#REF!</definedName>
    <definedName name="ccc">[2]Mayo!#REF!</definedName>
    <definedName name="CENTROS" localSheetId="0">#REF!</definedName>
    <definedName name="CENTROS">#REF!</definedName>
    <definedName name="D" localSheetId="0">[3]C39!$A$7:$E$111</definedName>
    <definedName name="D">[4]C39!$A$7:$E$111</definedName>
    <definedName name="D2019." localSheetId="0">#REF!</definedName>
    <definedName name="D2019.">#REF!</definedName>
    <definedName name="Excel_BuiltIn_Print_Area_5" localSheetId="0">[2]Mayo!#REF!</definedName>
    <definedName name="Excel_BuiltIn_Print_Area_5">[2]Mayo!#REF!</definedName>
    <definedName name="hijo" localSheetId="0" hidden="1">#REF!</definedName>
    <definedName name="hijo" hidden="1">#REF!</definedName>
    <definedName name="key" localSheetId="0">#REF!</definedName>
    <definedName name="key">#REF!</definedName>
    <definedName name="m" localSheetId="0">[5]C39!$A$7:$E$111</definedName>
    <definedName name="m">[6]C39!$A$7:$E$111</definedName>
    <definedName name="mary" localSheetId="0">#REF!</definedName>
    <definedName name="mary">#REF!</definedName>
    <definedName name="PRODUCCION_SERV">#REF!</definedName>
    <definedName name="ser" localSheetId="0">#REF!</definedName>
    <definedName name="ser">#REF!</definedName>
    <definedName name="SERVICIO" localSheetId="0" hidden="1">#REF!</definedName>
    <definedName name="SERVICIO" hidden="1">#REF!</definedName>
    <definedName name="yar" localSheetId="0">#REF!</definedName>
    <definedName name="y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9" i="1" l="1"/>
  <c r="L139" i="1"/>
  <c r="J139" i="1"/>
  <c r="H139" i="1"/>
  <c r="F139" i="1"/>
  <c r="D139" i="1"/>
  <c r="N138" i="1"/>
  <c r="L138" i="1"/>
  <c r="J138" i="1"/>
  <c r="N137" i="1"/>
  <c r="L137" i="1"/>
  <c r="J137" i="1"/>
  <c r="H136" i="1"/>
  <c r="F136" i="1"/>
  <c r="D136" i="1"/>
  <c r="H135" i="1"/>
  <c r="F135" i="1"/>
  <c r="D135" i="1"/>
  <c r="N134" i="1"/>
  <c r="L134" i="1"/>
  <c r="J134" i="1"/>
  <c r="H134" i="1"/>
  <c r="F134" i="1"/>
  <c r="D134" i="1"/>
  <c r="N133" i="1"/>
  <c r="L133" i="1"/>
  <c r="J133" i="1"/>
  <c r="H133" i="1"/>
  <c r="F133" i="1"/>
  <c r="D133" i="1"/>
  <c r="N132" i="1"/>
  <c r="L132" i="1"/>
  <c r="J132" i="1"/>
  <c r="H132" i="1"/>
  <c r="F132" i="1"/>
  <c r="D132" i="1"/>
  <c r="N131" i="1"/>
  <c r="L131" i="1"/>
  <c r="J131" i="1"/>
  <c r="H131" i="1"/>
  <c r="F131" i="1"/>
  <c r="D131" i="1"/>
  <c r="N130" i="1"/>
  <c r="L130" i="1"/>
  <c r="J130" i="1"/>
  <c r="H130" i="1"/>
  <c r="F130" i="1"/>
  <c r="D130" i="1"/>
  <c r="H129" i="1"/>
  <c r="F129" i="1"/>
  <c r="D129" i="1"/>
  <c r="H128" i="1"/>
  <c r="F128" i="1"/>
  <c r="D128" i="1"/>
  <c r="N127" i="1"/>
  <c r="L127" i="1"/>
  <c r="J127" i="1"/>
  <c r="N126" i="1"/>
  <c r="L126" i="1"/>
  <c r="J126" i="1"/>
  <c r="H126" i="1"/>
  <c r="F126" i="1"/>
  <c r="D126" i="1"/>
  <c r="N125" i="1"/>
  <c r="L125" i="1"/>
  <c r="J125" i="1"/>
  <c r="H125" i="1"/>
  <c r="F125" i="1"/>
  <c r="D125" i="1"/>
  <c r="N124" i="1"/>
  <c r="L124" i="1"/>
  <c r="J124" i="1"/>
  <c r="H124" i="1"/>
  <c r="F124" i="1"/>
  <c r="D124" i="1"/>
  <c r="N123" i="1"/>
  <c r="L123" i="1"/>
  <c r="J123" i="1"/>
  <c r="N122" i="1"/>
  <c r="L122" i="1"/>
  <c r="J122" i="1"/>
  <c r="H122" i="1"/>
  <c r="F122" i="1"/>
  <c r="D122" i="1"/>
  <c r="N121" i="1"/>
  <c r="L121" i="1"/>
  <c r="J121" i="1"/>
  <c r="H121" i="1"/>
  <c r="F121" i="1"/>
  <c r="D121" i="1"/>
  <c r="H120" i="1"/>
  <c r="F120" i="1"/>
  <c r="D120" i="1"/>
  <c r="H119" i="1"/>
  <c r="F119" i="1"/>
  <c r="D119" i="1"/>
  <c r="H118" i="1"/>
  <c r="F118" i="1"/>
  <c r="D118" i="1"/>
  <c r="H117" i="1"/>
  <c r="F117" i="1"/>
  <c r="D117" i="1"/>
  <c r="N116" i="1"/>
  <c r="L116" i="1"/>
  <c r="J116" i="1"/>
  <c r="F116" i="1"/>
  <c r="D116" i="1"/>
  <c r="L115" i="1"/>
  <c r="J115" i="1"/>
  <c r="N114" i="1"/>
  <c r="L114" i="1"/>
  <c r="J114" i="1"/>
  <c r="N113" i="1"/>
  <c r="L113" i="1"/>
  <c r="J113" i="1"/>
  <c r="N112" i="1"/>
  <c r="L112" i="1"/>
  <c r="J112" i="1"/>
  <c r="N111" i="1"/>
  <c r="L111" i="1"/>
  <c r="J111" i="1"/>
  <c r="H111" i="1"/>
  <c r="F111" i="1"/>
  <c r="D111" i="1"/>
  <c r="N110" i="1"/>
  <c r="M110" i="1"/>
  <c r="L110" i="1"/>
  <c r="K110" i="1"/>
  <c r="I110" i="1"/>
  <c r="J110" i="1" s="1"/>
  <c r="G110" i="1"/>
  <c r="H110" i="1" s="1"/>
  <c r="F110" i="1"/>
  <c r="E110" i="1"/>
  <c r="D110" i="1"/>
  <c r="C110" i="1"/>
  <c r="N109" i="1"/>
  <c r="L109" i="1"/>
  <c r="J109" i="1"/>
  <c r="H109" i="1"/>
  <c r="F109" i="1"/>
  <c r="D109" i="1"/>
  <c r="H108" i="1"/>
  <c r="F108" i="1"/>
  <c r="D108" i="1"/>
  <c r="N107" i="1"/>
  <c r="L107" i="1"/>
  <c r="J107" i="1"/>
  <c r="H107" i="1"/>
  <c r="F107" i="1"/>
  <c r="D107" i="1"/>
  <c r="N106" i="1"/>
  <c r="L106" i="1"/>
  <c r="J106" i="1"/>
  <c r="N105" i="1"/>
  <c r="L105" i="1"/>
  <c r="J105" i="1"/>
  <c r="N104" i="1"/>
  <c r="L104" i="1"/>
  <c r="J104" i="1"/>
  <c r="H104" i="1"/>
  <c r="F104" i="1"/>
  <c r="D104" i="1"/>
  <c r="N103" i="1"/>
  <c r="L103" i="1"/>
  <c r="J103" i="1"/>
  <c r="H103" i="1"/>
  <c r="F103" i="1"/>
  <c r="D103" i="1"/>
  <c r="N102" i="1"/>
  <c r="L102" i="1"/>
  <c r="J102" i="1"/>
  <c r="H102" i="1"/>
  <c r="G102" i="1"/>
  <c r="F102" i="1"/>
  <c r="E102" i="1"/>
  <c r="C102" i="1"/>
  <c r="D102" i="1" s="1"/>
  <c r="N101" i="1"/>
  <c r="L101" i="1"/>
  <c r="J101" i="1"/>
  <c r="H101" i="1"/>
  <c r="F101" i="1"/>
  <c r="D101" i="1"/>
  <c r="N100" i="1"/>
  <c r="L100" i="1"/>
  <c r="J100" i="1"/>
  <c r="H100" i="1"/>
  <c r="F100" i="1"/>
  <c r="D100" i="1"/>
  <c r="H99" i="1"/>
  <c r="F99" i="1"/>
  <c r="D99" i="1"/>
  <c r="N98" i="1"/>
  <c r="L98" i="1"/>
  <c r="J98" i="1"/>
  <c r="H98" i="1"/>
  <c r="F98" i="1"/>
  <c r="D98" i="1"/>
  <c r="N97" i="1"/>
  <c r="L97" i="1"/>
  <c r="J97" i="1"/>
  <c r="H97" i="1"/>
  <c r="F97" i="1"/>
  <c r="D97" i="1"/>
  <c r="N96" i="1"/>
  <c r="L96" i="1"/>
  <c r="J96" i="1"/>
  <c r="N95" i="1"/>
  <c r="L95" i="1"/>
  <c r="J95" i="1"/>
  <c r="H95" i="1"/>
  <c r="F95" i="1"/>
  <c r="D95" i="1"/>
  <c r="N86" i="1"/>
  <c r="L86" i="1"/>
  <c r="J86" i="1"/>
  <c r="H86" i="1"/>
  <c r="G86" i="1"/>
  <c r="E86" i="1"/>
  <c r="F86" i="1" s="1"/>
  <c r="C86" i="1"/>
  <c r="D86" i="1" s="1"/>
  <c r="H85" i="1"/>
  <c r="F85" i="1"/>
  <c r="D85" i="1"/>
  <c r="N84" i="1"/>
  <c r="L84" i="1"/>
  <c r="J84" i="1"/>
  <c r="G84" i="1"/>
  <c r="H84" i="1" s="1"/>
  <c r="E84" i="1"/>
  <c r="F84" i="1" s="1"/>
  <c r="D84" i="1"/>
  <c r="C84" i="1"/>
  <c r="N83" i="1"/>
  <c r="L83" i="1"/>
  <c r="J83" i="1"/>
  <c r="H83" i="1"/>
  <c r="G83" i="1"/>
  <c r="E83" i="1"/>
  <c r="F83" i="1" s="1"/>
  <c r="C83" i="1"/>
  <c r="D83" i="1" s="1"/>
  <c r="N82" i="1"/>
  <c r="L82" i="1"/>
  <c r="J82" i="1"/>
  <c r="G82" i="1"/>
  <c r="H82" i="1" s="1"/>
  <c r="F82" i="1"/>
  <c r="E82" i="1"/>
  <c r="C82" i="1"/>
  <c r="D82" i="1" s="1"/>
  <c r="N81" i="1"/>
  <c r="L81" i="1"/>
  <c r="J81" i="1"/>
  <c r="H81" i="1"/>
  <c r="F81" i="1"/>
  <c r="D81" i="1"/>
  <c r="N80" i="1"/>
  <c r="L80" i="1"/>
  <c r="J80" i="1"/>
  <c r="N79" i="1"/>
  <c r="L79" i="1"/>
  <c r="J79" i="1"/>
  <c r="H79" i="1"/>
  <c r="F79" i="1"/>
  <c r="D79" i="1"/>
  <c r="N78" i="1"/>
  <c r="M78" i="1"/>
  <c r="L78" i="1"/>
  <c r="K78" i="1"/>
  <c r="I78" i="1"/>
  <c r="J78" i="1" s="1"/>
  <c r="G78" i="1"/>
  <c r="H78" i="1" s="1"/>
  <c r="F78" i="1"/>
  <c r="E78" i="1"/>
  <c r="D78" i="1"/>
  <c r="C78" i="1"/>
  <c r="N77" i="1"/>
  <c r="L77" i="1"/>
  <c r="J77" i="1"/>
  <c r="H77" i="1"/>
  <c r="F77" i="1"/>
  <c r="D77" i="1"/>
  <c r="N76" i="1"/>
  <c r="L76" i="1"/>
  <c r="J76" i="1"/>
  <c r="H76" i="1"/>
  <c r="F76" i="1"/>
  <c r="D76" i="1"/>
  <c r="N75" i="1"/>
  <c r="L75" i="1"/>
  <c r="J75" i="1"/>
  <c r="H75" i="1"/>
  <c r="F75" i="1"/>
  <c r="D75" i="1"/>
  <c r="N74" i="1"/>
  <c r="L74" i="1"/>
  <c r="J74" i="1"/>
  <c r="H74" i="1"/>
  <c r="F74" i="1"/>
  <c r="D74" i="1"/>
  <c r="N73" i="1"/>
  <c r="L73" i="1"/>
  <c r="J73" i="1"/>
  <c r="H73" i="1"/>
  <c r="F73" i="1"/>
  <c r="D73" i="1"/>
  <c r="N72" i="1"/>
  <c r="L72" i="1"/>
  <c r="J72" i="1"/>
  <c r="H72" i="1"/>
  <c r="F72" i="1"/>
  <c r="D72" i="1"/>
  <c r="N71" i="1"/>
  <c r="L71" i="1"/>
  <c r="J71" i="1"/>
  <c r="H71" i="1"/>
  <c r="F71" i="1"/>
  <c r="D71" i="1"/>
  <c r="N70" i="1"/>
  <c r="L70" i="1"/>
  <c r="J70" i="1"/>
  <c r="H70" i="1"/>
  <c r="F70" i="1"/>
  <c r="D70" i="1"/>
  <c r="N69" i="1"/>
  <c r="L69" i="1"/>
  <c r="J69" i="1"/>
  <c r="H69" i="1"/>
  <c r="F69" i="1"/>
  <c r="D69" i="1"/>
  <c r="N68" i="1"/>
  <c r="L68" i="1"/>
  <c r="J68" i="1"/>
  <c r="H68" i="1"/>
  <c r="F68" i="1"/>
  <c r="D68" i="1"/>
  <c r="N67" i="1"/>
  <c r="L67" i="1"/>
  <c r="J67" i="1"/>
  <c r="H67" i="1"/>
  <c r="F67" i="1"/>
  <c r="D67" i="1"/>
  <c r="N66" i="1"/>
  <c r="L66" i="1"/>
  <c r="J66" i="1"/>
  <c r="H66" i="1"/>
  <c r="F66" i="1"/>
  <c r="D66" i="1"/>
  <c r="N65" i="1"/>
  <c r="L65" i="1"/>
  <c r="J65" i="1"/>
  <c r="H65" i="1"/>
  <c r="F65" i="1"/>
  <c r="D65" i="1"/>
  <c r="N64" i="1"/>
  <c r="L64" i="1"/>
  <c r="J64" i="1"/>
  <c r="H64" i="1"/>
  <c r="F64" i="1"/>
  <c r="D64" i="1"/>
  <c r="H63" i="1"/>
  <c r="F63" i="1"/>
  <c r="D63" i="1"/>
  <c r="H62" i="1"/>
  <c r="F62" i="1"/>
  <c r="D62" i="1"/>
  <c r="N61" i="1"/>
  <c r="L61" i="1"/>
  <c r="J61" i="1"/>
  <c r="N60" i="1"/>
  <c r="L60" i="1"/>
  <c r="J60" i="1"/>
  <c r="H60" i="1"/>
  <c r="F60" i="1"/>
  <c r="D60" i="1"/>
  <c r="N59" i="1"/>
  <c r="L59" i="1"/>
  <c r="J59" i="1"/>
  <c r="H59" i="1"/>
  <c r="F59" i="1"/>
  <c r="D59" i="1"/>
  <c r="N58" i="1"/>
  <c r="L58" i="1"/>
  <c r="J58" i="1"/>
  <c r="H58" i="1"/>
  <c r="F58" i="1"/>
  <c r="D58" i="1"/>
  <c r="N57" i="1"/>
  <c r="L57" i="1"/>
  <c r="J57" i="1"/>
  <c r="N56" i="1"/>
  <c r="L56" i="1"/>
  <c r="J56" i="1"/>
  <c r="H56" i="1"/>
  <c r="F56" i="1"/>
  <c r="D56" i="1"/>
  <c r="M48" i="1"/>
  <c r="N48" i="1" s="1"/>
  <c r="K48" i="1"/>
  <c r="L48" i="1" s="1"/>
  <c r="J48" i="1"/>
  <c r="I48" i="1"/>
  <c r="H48" i="1"/>
  <c r="G48" i="1"/>
  <c r="E48" i="1"/>
  <c r="F48" i="1" s="1"/>
  <c r="C48" i="1"/>
  <c r="D48" i="1" s="1"/>
  <c r="H47" i="1"/>
  <c r="F47" i="1"/>
  <c r="D47" i="1"/>
  <c r="N46" i="1"/>
  <c r="L46" i="1"/>
  <c r="J46" i="1"/>
  <c r="H46" i="1"/>
  <c r="F46" i="1"/>
  <c r="D46" i="1"/>
  <c r="N45" i="1"/>
  <c r="L45" i="1"/>
  <c r="J45" i="1"/>
  <c r="H45" i="1"/>
  <c r="F45" i="1"/>
  <c r="D45" i="1"/>
  <c r="N44" i="1"/>
  <c r="L44" i="1"/>
  <c r="J44" i="1"/>
  <c r="H44" i="1"/>
  <c r="F44" i="1"/>
  <c r="D44" i="1"/>
  <c r="N43" i="1"/>
  <c r="L43" i="1"/>
  <c r="J43" i="1"/>
  <c r="H43" i="1"/>
  <c r="F43" i="1"/>
  <c r="D43" i="1"/>
  <c r="N42" i="1"/>
  <c r="L42" i="1"/>
  <c r="J42" i="1"/>
  <c r="N41" i="1"/>
  <c r="L41" i="1"/>
  <c r="J41" i="1"/>
  <c r="H41" i="1"/>
  <c r="F41" i="1"/>
  <c r="D41" i="1"/>
  <c r="N40" i="1"/>
  <c r="L40" i="1"/>
  <c r="J40" i="1"/>
  <c r="H40" i="1"/>
  <c r="F40" i="1"/>
  <c r="D40" i="1"/>
  <c r="H39" i="1"/>
  <c r="F39" i="1"/>
  <c r="D39" i="1"/>
  <c r="N38" i="1"/>
  <c r="L38" i="1"/>
  <c r="J38" i="1"/>
  <c r="H38" i="1"/>
  <c r="F38" i="1"/>
  <c r="D38" i="1"/>
  <c r="N37" i="1"/>
  <c r="L37" i="1"/>
  <c r="J37" i="1"/>
  <c r="H37" i="1"/>
  <c r="F37" i="1"/>
  <c r="D37" i="1"/>
  <c r="N36" i="1"/>
  <c r="L36" i="1"/>
  <c r="J36" i="1"/>
  <c r="H36" i="1"/>
  <c r="F36" i="1"/>
  <c r="D36" i="1"/>
  <c r="N35" i="1"/>
  <c r="L35" i="1"/>
  <c r="J35" i="1"/>
  <c r="H35" i="1"/>
  <c r="F35" i="1"/>
  <c r="D35" i="1"/>
  <c r="N34" i="1"/>
  <c r="L34" i="1"/>
  <c r="J34" i="1"/>
  <c r="N33" i="1"/>
  <c r="L33" i="1"/>
  <c r="J33" i="1"/>
  <c r="H33" i="1"/>
  <c r="F33" i="1"/>
  <c r="D33" i="1"/>
  <c r="N32" i="1"/>
  <c r="L32" i="1"/>
  <c r="J32" i="1"/>
  <c r="H32" i="1"/>
  <c r="F32" i="1"/>
  <c r="D32" i="1"/>
  <c r="H31" i="1"/>
  <c r="F31" i="1"/>
  <c r="D31" i="1"/>
  <c r="N30" i="1"/>
  <c r="L30" i="1"/>
  <c r="J30" i="1"/>
  <c r="N29" i="1"/>
  <c r="L29" i="1"/>
  <c r="J29" i="1"/>
  <c r="H29" i="1"/>
  <c r="F29" i="1"/>
  <c r="D29" i="1"/>
  <c r="N28" i="1"/>
  <c r="L28" i="1"/>
  <c r="J28" i="1"/>
  <c r="H28" i="1"/>
  <c r="F28" i="1"/>
  <c r="D28" i="1"/>
  <c r="N27" i="1"/>
  <c r="L27" i="1"/>
  <c r="J27" i="1"/>
  <c r="H27" i="1"/>
  <c r="F27" i="1"/>
  <c r="D27" i="1"/>
  <c r="N26" i="1"/>
  <c r="L26" i="1"/>
  <c r="J26" i="1"/>
  <c r="H26" i="1"/>
  <c r="F26" i="1"/>
  <c r="D26" i="1"/>
  <c r="N25" i="1"/>
  <c r="L25" i="1"/>
  <c r="J25" i="1"/>
  <c r="H25" i="1"/>
  <c r="F25" i="1"/>
  <c r="D25" i="1"/>
  <c r="N24" i="1"/>
  <c r="L24" i="1"/>
  <c r="J24" i="1"/>
  <c r="H24" i="1"/>
  <c r="F24" i="1"/>
  <c r="D24" i="1"/>
  <c r="H23" i="1"/>
  <c r="F23" i="1"/>
  <c r="D23" i="1"/>
  <c r="N22" i="1"/>
  <c r="L22" i="1"/>
  <c r="J22" i="1"/>
  <c r="H22" i="1"/>
  <c r="F22" i="1"/>
  <c r="D22" i="1"/>
  <c r="N21" i="1"/>
  <c r="L21" i="1"/>
  <c r="J21" i="1"/>
  <c r="H21" i="1"/>
  <c r="F21" i="1"/>
  <c r="D21" i="1"/>
  <c r="N20" i="1"/>
  <c r="L20" i="1"/>
  <c r="J20" i="1"/>
  <c r="H20" i="1"/>
  <c r="F20" i="1"/>
  <c r="D20" i="1"/>
  <c r="N19" i="1"/>
  <c r="L19" i="1"/>
  <c r="J19" i="1"/>
  <c r="H19" i="1"/>
  <c r="F19" i="1"/>
  <c r="D19" i="1"/>
  <c r="N18" i="1"/>
  <c r="L18" i="1"/>
  <c r="J18" i="1"/>
  <c r="N17" i="1"/>
  <c r="L17" i="1"/>
  <c r="J17" i="1"/>
  <c r="H17" i="1"/>
  <c r="F17" i="1"/>
  <c r="D17" i="1"/>
  <c r="N16" i="1"/>
  <c r="L16" i="1"/>
  <c r="J16" i="1"/>
  <c r="H16" i="1"/>
  <c r="F16" i="1"/>
  <c r="D16" i="1"/>
  <c r="N14" i="1"/>
  <c r="L14" i="1"/>
  <c r="J14" i="1"/>
  <c r="N13" i="1"/>
  <c r="L13" i="1"/>
  <c r="J13" i="1"/>
  <c r="N12" i="1"/>
  <c r="L12" i="1"/>
  <c r="J12" i="1"/>
  <c r="N11" i="1"/>
  <c r="L11" i="1"/>
  <c r="J11" i="1"/>
  <c r="N10" i="1"/>
  <c r="L10" i="1"/>
  <c r="J10" i="1"/>
  <c r="N8" i="1"/>
  <c r="L8" i="1"/>
  <c r="J8" i="1"/>
  <c r="H8" i="1"/>
  <c r="F8" i="1"/>
  <c r="D8" i="1"/>
</calcChain>
</file>

<file path=xl/sharedStrings.xml><?xml version="1.0" encoding="utf-8"?>
<sst xmlns="http://schemas.openxmlformats.org/spreadsheetml/2006/main" count="427" uniqueCount="106">
  <si>
    <t xml:space="preserve">Cuadro Nº 9.     </t>
  </si>
  <si>
    <t>CINCO PRINCIPALES CAUSAS DE MORTALIDAD, SEGÚN PROVINCIA Y COMARCA INDÍGENA EN LA REPÚBLICA DE PANAMÁ: AÑOS 2019 - 2020</t>
  </si>
  <si>
    <t>Provincia y Causa 1/</t>
  </si>
  <si>
    <t>Total</t>
  </si>
  <si>
    <t>Sexo</t>
  </si>
  <si>
    <t>Hombre</t>
  </si>
  <si>
    <t>Mujer</t>
  </si>
  <si>
    <t>Nº</t>
  </si>
  <si>
    <t>Tasa 2/</t>
  </si>
  <si>
    <t>República</t>
  </si>
  <si>
    <t>TOTAL DEL PAIS</t>
  </si>
  <si>
    <t>COVID-19</t>
  </si>
  <si>
    <t>..</t>
  </si>
  <si>
    <t>Tumores malignos...............................................................</t>
  </si>
  <si>
    <t>Enfermedades isquemicas del corazón.................................</t>
  </si>
  <si>
    <t>Enfermedades cerebrovasculares.....................................</t>
  </si>
  <si>
    <t>Diabetes mellitus……...........................................................</t>
  </si>
  <si>
    <t>Accidentes, suicidios, homicidios y otras violencias...............</t>
  </si>
  <si>
    <t>Las demás causas...................................................</t>
  </si>
  <si>
    <t>Bocas del Toro</t>
  </si>
  <si>
    <t>BOCAS DEL TORO</t>
  </si>
  <si>
    <t>Tumores malignos.........................................................</t>
  </si>
  <si>
    <t>Causas externas de morbilidad y de mortalidad</t>
  </si>
  <si>
    <t>Enfermedad por virus de la Inmunodeficiencia Humana (VIH)…..</t>
  </si>
  <si>
    <t xml:space="preserve"> Diabetes Mellitus…………………………………….</t>
  </si>
  <si>
    <t xml:space="preserve"> Ciertas afecciones originadas en el periodo perinatal……</t>
  </si>
  <si>
    <t>Coclé</t>
  </si>
  <si>
    <t>Tumores malignos...........................................................</t>
  </si>
  <si>
    <t>Enfermedades cerebrovasculares..................................</t>
  </si>
  <si>
    <t>COCLE</t>
  </si>
  <si>
    <t xml:space="preserve"> Enfermedad hipertensiva….............................................</t>
  </si>
  <si>
    <t>Enfermedades isquemicas del corazón...........................</t>
  </si>
  <si>
    <t>Otras enfermedades del corazón</t>
  </si>
  <si>
    <t>Colón</t>
  </si>
  <si>
    <t>Tumores malignos.......................................................</t>
  </si>
  <si>
    <t>Enfermedades isquemicas del corazón..........................</t>
  </si>
  <si>
    <t>COLON</t>
  </si>
  <si>
    <t>.</t>
  </si>
  <si>
    <t>Enfermedad hipertensivas …...........................................</t>
  </si>
  <si>
    <t>Enfermedades cerebrovasculares................................</t>
  </si>
  <si>
    <t>Chiriquí</t>
  </si>
  <si>
    <t>CHIRIQUI</t>
  </si>
  <si>
    <t>Enfermedades cerebrovasculares………………………..</t>
  </si>
  <si>
    <t>Diabetes mellitus.....................................................................</t>
  </si>
  <si>
    <t>Las demás causas........................................................................</t>
  </si>
  <si>
    <t xml:space="preserve"> (Continuación)</t>
  </si>
  <si>
    <t>Darién</t>
  </si>
  <si>
    <t>Tumores (Neoplasias) Malignos</t>
  </si>
  <si>
    <t>causas externas de morbilidad y mortalidad</t>
  </si>
  <si>
    <t>DARIEN</t>
  </si>
  <si>
    <t>Enfermedades isquémicas del corazón</t>
  </si>
  <si>
    <t>Enfermedades cerebrovasculares</t>
  </si>
  <si>
    <t>Las demás causas..............................................................................</t>
  </si>
  <si>
    <t>Herrera</t>
  </si>
  <si>
    <t>Tumores malignos................................................................................</t>
  </si>
  <si>
    <t>HERRERA</t>
  </si>
  <si>
    <t>Enfermedades cerebrovasculares.............................................</t>
  </si>
  <si>
    <t>Diabetes mellitus</t>
  </si>
  <si>
    <t>Enfermedades isquemicas del corazón.....................................</t>
  </si>
  <si>
    <t>Las demás causas..................................................................................</t>
  </si>
  <si>
    <t>Los Santos</t>
  </si>
  <si>
    <t>LOS SANTOS</t>
  </si>
  <si>
    <t>Las demás causas.........................................................................</t>
  </si>
  <si>
    <t>Panamá</t>
  </si>
  <si>
    <t>PANAMA PROVINCIA</t>
  </si>
  <si>
    <t>Enfermedades cerebrovasculares....................................................</t>
  </si>
  <si>
    <t xml:space="preserve">   Diabetes Mellitus…………………………………………</t>
  </si>
  <si>
    <t xml:space="preserve">   Las demás causas........................................................................</t>
  </si>
  <si>
    <t>(Conclusión)</t>
  </si>
  <si>
    <t>Panamá Oeste</t>
  </si>
  <si>
    <t>Tumores malignos……………………………………………………..</t>
  </si>
  <si>
    <t>PANAMA OESTE</t>
  </si>
  <si>
    <t>Enfermedades Cerebrovasculares…………………………………</t>
  </si>
  <si>
    <t>Diabetes Mellitus…………………………………………………..</t>
  </si>
  <si>
    <t>Las demás causas……………………………………………………..</t>
  </si>
  <si>
    <t>Veraguas</t>
  </si>
  <si>
    <t>VERAGUAS</t>
  </si>
  <si>
    <t>Enfermedades cerebrovasculares……………………………</t>
  </si>
  <si>
    <t>Las demás causas....................................................................................</t>
  </si>
  <si>
    <t>Comarca Emberá</t>
  </si>
  <si>
    <t>** COMARCA EMBERA 3/</t>
  </si>
  <si>
    <t xml:space="preserve">      HOMBRES...................................................</t>
  </si>
  <si>
    <t>Enfermedades hipertensivas</t>
  </si>
  <si>
    <t xml:space="preserve">      MUJERES........................................................</t>
  </si>
  <si>
    <t>Ciertas afecciones originadas en el período perinatal</t>
  </si>
  <si>
    <t>_</t>
  </si>
  <si>
    <t>Diarrea y gastroenteritis de presunto origen infeccioso</t>
  </si>
  <si>
    <t>Malformaciones congénitas, deformidades y anomalías cromosómicas</t>
  </si>
  <si>
    <t>Demás causas</t>
  </si>
  <si>
    <t>Comarca Kuna Yala</t>
  </si>
  <si>
    <t>COMARCA GUNA YALA</t>
  </si>
  <si>
    <t>Neumonía………………………………………………….</t>
  </si>
  <si>
    <t>Tumores malignos..</t>
  </si>
  <si>
    <t>Tuberculosis</t>
  </si>
  <si>
    <t>Demás Causas</t>
  </si>
  <si>
    <t>Comarca Ngabe Buglé</t>
  </si>
  <si>
    <t>Diarrea y gastroenteritis de pres. origen infec............................</t>
  </si>
  <si>
    <t>COMARCA NGOBE BUGLE</t>
  </si>
  <si>
    <t>Ciertas afecciones originadas en el periodo perinatal….................</t>
  </si>
  <si>
    <t xml:space="preserve"> Malformaciones congenitas, deformidades y anomalias </t>
  </si>
  <si>
    <t>Tumores Malignos</t>
  </si>
  <si>
    <t>Las demás causas.................................................................................</t>
  </si>
  <si>
    <t>1/ Con base en la lista de Mortalidad de la Clasificación Internacional de Enfermedades (Décima Revisión).</t>
  </si>
  <si>
    <t>2/ Cálculo por 100,000 habitantes, con base en la estimación de la población total por provincia y sexo, al 1º de julio.</t>
  </si>
  <si>
    <t>Fuente Documental: Base de Dato de Estadísticas Vitales - Volumen III,  Defunciones.</t>
  </si>
  <si>
    <t>Fuente Institucional: Contraloría General de la República,  Sección de Estadísticas Vitales.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</si>
</sst>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Book Antiqua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9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3" fillId="0" borderId="1" xfId="1" applyFont="1" applyBorder="1"/>
    <xf numFmtId="0" fontId="2" fillId="0" borderId="2" xfId="1" applyFont="1" applyBorder="1" applyAlignment="1">
      <alignment horizontal="center"/>
    </xf>
    <xf numFmtId="3" fontId="3" fillId="0" borderId="1" xfId="1" applyNumberFormat="1" applyFont="1" applyBorder="1" applyAlignment="1">
      <alignment horizontal="centerContinuous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164" fontId="3" fillId="2" borderId="15" xfId="1" applyNumberFormat="1" applyFont="1" applyFill="1" applyBorder="1" applyAlignment="1">
      <alignment horizontal="center" vertical="center"/>
    </xf>
    <xf numFmtId="164" fontId="3" fillId="2" borderId="16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17" xfId="1" applyFont="1" applyBorder="1" applyAlignment="1">
      <alignment horizontal="right"/>
    </xf>
    <xf numFmtId="0" fontId="3" fillId="0" borderId="18" xfId="1" applyFont="1" applyBorder="1" applyAlignment="1">
      <alignment horizontal="right"/>
    </xf>
    <xf numFmtId="0" fontId="3" fillId="0" borderId="19" xfId="1" applyFont="1" applyBorder="1" applyAlignment="1">
      <alignment horizontal="right"/>
    </xf>
    <xf numFmtId="0" fontId="3" fillId="0" borderId="20" xfId="1" applyFont="1" applyBorder="1" applyAlignment="1">
      <alignment horizontal="right"/>
    </xf>
    <xf numFmtId="164" fontId="3" fillId="0" borderId="21" xfId="1" applyNumberFormat="1" applyFont="1" applyBorder="1" applyAlignment="1">
      <alignment horizontal="right"/>
    </xf>
    <xf numFmtId="0" fontId="3" fillId="0" borderId="21" xfId="1" applyFont="1" applyBorder="1" applyAlignment="1">
      <alignment horizontal="right"/>
    </xf>
    <xf numFmtId="164" fontId="3" fillId="0" borderId="22" xfId="1" applyNumberFormat="1" applyFont="1" applyBorder="1" applyAlignment="1">
      <alignment horizontal="right"/>
    </xf>
    <xf numFmtId="0" fontId="3" fillId="0" borderId="23" xfId="1" applyFont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left"/>
    </xf>
    <xf numFmtId="3" fontId="2" fillId="0" borderId="20" xfId="1" quotePrefix="1" applyNumberFormat="1" applyFont="1" applyBorder="1" applyAlignment="1">
      <alignment horizontal="right"/>
    </xf>
    <xf numFmtId="164" fontId="2" fillId="0" borderId="21" xfId="1" applyNumberFormat="1" applyFont="1" applyBorder="1" applyAlignment="1">
      <alignment horizontal="right"/>
    </xf>
    <xf numFmtId="3" fontId="2" fillId="0" borderId="21" xfId="1" quotePrefix="1" applyNumberFormat="1" applyFont="1" applyBorder="1" applyAlignment="1">
      <alignment horizontal="right"/>
    </xf>
    <xf numFmtId="164" fontId="2" fillId="0" borderId="24" xfId="1" applyNumberFormat="1" applyFont="1" applyBorder="1" applyAlignment="1">
      <alignment horizontal="right"/>
    </xf>
    <xf numFmtId="0" fontId="2" fillId="0" borderId="20" xfId="1" applyFont="1" applyBorder="1" applyAlignment="1">
      <alignment horizontal="right"/>
    </xf>
    <xf numFmtId="0" fontId="2" fillId="0" borderId="21" xfId="1" applyFont="1" applyBorder="1" applyAlignment="1">
      <alignment horizontal="right"/>
    </xf>
    <xf numFmtId="164" fontId="2" fillId="0" borderId="22" xfId="1" applyNumberFormat="1" applyFont="1" applyBorder="1" applyAlignment="1">
      <alignment horizontal="right"/>
    </xf>
    <xf numFmtId="3" fontId="2" fillId="0" borderId="25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0" fontId="2" fillId="0" borderId="1" xfId="1" applyFont="1" applyBorder="1"/>
    <xf numFmtId="3" fontId="3" fillId="0" borderId="20" xfId="1" quotePrefix="1" applyNumberFormat="1" applyFont="1" applyBorder="1" applyAlignment="1">
      <alignment horizontal="right"/>
    </xf>
    <xf numFmtId="3" fontId="3" fillId="0" borderId="21" xfId="1" quotePrefix="1" applyNumberFormat="1" applyFont="1" applyBorder="1" applyAlignment="1">
      <alignment horizontal="right"/>
    </xf>
    <xf numFmtId="164" fontId="3" fillId="0" borderId="24" xfId="1" applyNumberFormat="1" applyFont="1" applyBorder="1" applyAlignment="1">
      <alignment horizontal="right"/>
    </xf>
    <xf numFmtId="3" fontId="3" fillId="0" borderId="25" xfId="1" applyNumberFormat="1" applyFont="1" applyBorder="1" applyAlignment="1">
      <alignment horizontal="right"/>
    </xf>
    <xf numFmtId="3" fontId="3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left" indent="1"/>
    </xf>
    <xf numFmtId="0" fontId="3" fillId="0" borderId="25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3" fillId="0" borderId="24" xfId="1" applyFont="1" applyBorder="1" applyAlignment="1">
      <alignment horizontal="right"/>
    </xf>
    <xf numFmtId="3" fontId="3" fillId="0" borderId="25" xfId="1" applyNumberFormat="1" applyFont="1" applyBorder="1"/>
    <xf numFmtId="3" fontId="3" fillId="0" borderId="1" xfId="1" applyNumberFormat="1" applyFont="1" applyBorder="1"/>
    <xf numFmtId="0" fontId="3" fillId="0" borderId="0" xfId="1" applyFont="1" applyAlignment="1">
      <alignment horizontal="left" wrapText="1" indent="1"/>
    </xf>
    <xf numFmtId="0" fontId="3" fillId="0" borderId="25" xfId="1" applyFont="1" applyBorder="1"/>
    <xf numFmtId="3" fontId="2" fillId="0" borderId="25" xfId="1" applyNumberFormat="1" applyFont="1" applyBorder="1"/>
    <xf numFmtId="3" fontId="2" fillId="0" borderId="1" xfId="1" applyNumberFormat="1" applyFont="1" applyBorder="1"/>
    <xf numFmtId="0" fontId="3" fillId="0" borderId="21" xfId="1" quotePrefix="1" applyFont="1" applyBorder="1" applyAlignment="1" applyProtection="1">
      <alignment horizontal="right"/>
      <protection locked="0"/>
    </xf>
    <xf numFmtId="0" fontId="4" fillId="0" borderId="0" xfId="0" applyFont="1"/>
    <xf numFmtId="1" fontId="3" fillId="0" borderId="21" xfId="1" applyNumberFormat="1" applyFont="1" applyBorder="1" applyAlignment="1">
      <alignment horizontal="right"/>
    </xf>
    <xf numFmtId="0" fontId="3" fillId="0" borderId="26" xfId="1" applyFont="1" applyBorder="1" applyAlignment="1">
      <alignment horizontal="right"/>
    </xf>
    <xf numFmtId="0" fontId="5" fillId="0" borderId="0" xfId="1" applyFont="1" applyAlignment="1">
      <alignment horizontal="left" indent="1"/>
    </xf>
    <xf numFmtId="3" fontId="5" fillId="0" borderId="20" xfId="1" quotePrefix="1" applyNumberFormat="1" applyFont="1" applyBorder="1" applyAlignment="1">
      <alignment horizontal="right"/>
    </xf>
    <xf numFmtId="164" fontId="5" fillId="0" borderId="21" xfId="1" applyNumberFormat="1" applyFont="1" applyBorder="1" applyAlignment="1">
      <alignment horizontal="right"/>
    </xf>
    <xf numFmtId="3" fontId="5" fillId="0" borderId="21" xfId="1" quotePrefix="1" applyNumberFormat="1" applyFont="1" applyBorder="1" applyAlignment="1">
      <alignment horizontal="right"/>
    </xf>
    <xf numFmtId="164" fontId="5" fillId="0" borderId="24" xfId="1" applyNumberFormat="1" applyFont="1" applyBorder="1" applyAlignment="1">
      <alignment horizontal="right"/>
    </xf>
    <xf numFmtId="0" fontId="3" fillId="0" borderId="0" xfId="1" applyFont="1" applyAlignment="1">
      <alignment horizontal="right"/>
    </xf>
    <xf numFmtId="0" fontId="3" fillId="0" borderId="2" xfId="1" applyFont="1" applyBorder="1"/>
    <xf numFmtId="0" fontId="5" fillId="0" borderId="2" xfId="1" applyFont="1" applyBorder="1" applyAlignment="1">
      <alignment horizontal="left" indent="1"/>
    </xf>
    <xf numFmtId="3" fontId="3" fillId="0" borderId="27" xfId="1" applyNumberFormat="1" applyFont="1" applyBorder="1" applyAlignment="1">
      <alignment horizontal="right"/>
    </xf>
    <xf numFmtId="164" fontId="3" fillId="0" borderId="28" xfId="1" applyNumberFormat="1" applyFont="1" applyBorder="1" applyAlignment="1">
      <alignment horizontal="right"/>
    </xf>
    <xf numFmtId="3" fontId="3" fillId="0" borderId="28" xfId="1" applyNumberFormat="1" applyFont="1" applyBorder="1" applyAlignment="1">
      <alignment horizontal="right"/>
    </xf>
    <xf numFmtId="164" fontId="3" fillId="0" borderId="29" xfId="1" applyNumberFormat="1" applyFont="1" applyBorder="1" applyAlignment="1">
      <alignment horizontal="right"/>
    </xf>
    <xf numFmtId="0" fontId="3" fillId="0" borderId="30" xfId="1" applyFont="1" applyBorder="1" applyAlignment="1">
      <alignment horizontal="right"/>
    </xf>
    <xf numFmtId="0" fontId="3" fillId="0" borderId="28" xfId="1" applyFont="1" applyBorder="1" applyAlignment="1">
      <alignment horizontal="right"/>
    </xf>
    <xf numFmtId="164" fontId="3" fillId="0" borderId="31" xfId="1" applyNumberFormat="1" applyFont="1" applyBorder="1" applyAlignment="1">
      <alignment horizontal="right"/>
    </xf>
    <xf numFmtId="0" fontId="2" fillId="0" borderId="3" xfId="1" applyFont="1" applyBorder="1" applyAlignment="1">
      <alignment horizontal="left"/>
    </xf>
    <xf numFmtId="0" fontId="3" fillId="0" borderId="32" xfId="1" applyFont="1" applyBorder="1" applyAlignment="1">
      <alignment horizontal="right"/>
    </xf>
    <xf numFmtId="0" fontId="3" fillId="0" borderId="32" xfId="1" applyFont="1" applyBorder="1"/>
    <xf numFmtId="0" fontId="2" fillId="0" borderId="0" xfId="1" applyFont="1" applyAlignment="1">
      <alignment horizontal="center"/>
    </xf>
    <xf numFmtId="0" fontId="3" fillId="0" borderId="23" xfId="1" applyFont="1" applyBorder="1" applyAlignment="1">
      <alignment horizontal="right"/>
    </xf>
    <xf numFmtId="0" fontId="3" fillId="0" borderId="23" xfId="1" applyFont="1" applyBorder="1"/>
    <xf numFmtId="0" fontId="3" fillId="2" borderId="3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/>
    </xf>
    <xf numFmtId="0" fontId="3" fillId="2" borderId="40" xfId="1" applyFont="1" applyFill="1" applyBorder="1" applyAlignment="1">
      <alignment horizontal="center" vertical="center"/>
    </xf>
    <xf numFmtId="0" fontId="3" fillId="2" borderId="41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/>
    </xf>
    <xf numFmtId="0" fontId="6" fillId="0" borderId="0" xfId="1" applyFont="1" applyAlignment="1">
      <alignment horizontal="left"/>
    </xf>
    <xf numFmtId="3" fontId="6" fillId="0" borderId="20" xfId="1" quotePrefix="1" applyNumberFormat="1" applyFont="1" applyBorder="1" applyAlignment="1">
      <alignment horizontal="right"/>
    </xf>
    <xf numFmtId="164" fontId="6" fillId="0" borderId="21" xfId="1" applyNumberFormat="1" applyFont="1" applyBorder="1" applyAlignment="1">
      <alignment horizontal="right"/>
    </xf>
    <xf numFmtId="3" fontId="6" fillId="0" borderId="21" xfId="1" quotePrefix="1" applyNumberFormat="1" applyFont="1" applyBorder="1" applyAlignment="1">
      <alignment horizontal="right"/>
    </xf>
    <xf numFmtId="164" fontId="6" fillId="0" borderId="24" xfId="1" applyNumberFormat="1" applyFont="1" applyBorder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  <xf numFmtId="0" fontId="5" fillId="0" borderId="20" xfId="1" applyFont="1" applyBorder="1" applyAlignment="1">
      <alignment horizontal="right"/>
    </xf>
    <xf numFmtId="3" fontId="5" fillId="0" borderId="21" xfId="1" applyNumberFormat="1" applyFont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3" fillId="0" borderId="27" xfId="1" applyFont="1" applyBorder="1" applyAlignment="1">
      <alignment horizontal="right"/>
    </xf>
    <xf numFmtId="0" fontId="3" fillId="0" borderId="29" xfId="1" applyFont="1" applyBorder="1" applyAlignment="1">
      <alignment horizontal="right"/>
    </xf>
    <xf numFmtId="0" fontId="3" fillId="2" borderId="3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35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42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/>
    </xf>
    <xf numFmtId="164" fontId="3" fillId="2" borderId="15" xfId="1" applyNumberFormat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164" fontId="3" fillId="2" borderId="16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6" fillId="0" borderId="0" xfId="1" applyFont="1"/>
    <xf numFmtId="0" fontId="3" fillId="0" borderId="0" xfId="1" applyFont="1" applyAlignment="1">
      <alignment horizontal="center" vertical="center"/>
    </xf>
    <xf numFmtId="0" fontId="5" fillId="0" borderId="35" xfId="1" applyFont="1" applyBorder="1" applyAlignment="1">
      <alignment horizontal="left" indent="1"/>
    </xf>
    <xf numFmtId="3" fontId="5" fillId="0" borderId="26" xfId="1" quotePrefix="1" applyNumberFormat="1" applyFont="1" applyBorder="1" applyAlignment="1">
      <alignment horizontal="right"/>
    </xf>
    <xf numFmtId="0" fontId="3" fillId="0" borderId="35" xfId="1" applyFont="1" applyBorder="1"/>
    <xf numFmtId="0" fontId="5" fillId="0" borderId="0" xfId="1" applyFont="1"/>
    <xf numFmtId="0" fontId="6" fillId="0" borderId="45" xfId="2" applyFont="1" applyBorder="1" applyAlignment="1">
      <alignment horizontal="left"/>
    </xf>
    <xf numFmtId="3" fontId="6" fillId="0" borderId="46" xfId="2" applyNumberFormat="1" applyFont="1" applyBorder="1" applyProtection="1">
      <protection locked="0"/>
    </xf>
    <xf numFmtId="0" fontId="6" fillId="0" borderId="0" xfId="2" applyFont="1" applyAlignment="1">
      <alignment horizontal="left"/>
    </xf>
    <xf numFmtId="3" fontId="6" fillId="0" borderId="21" xfId="2" applyNumberFormat="1" applyFont="1" applyBorder="1" applyProtection="1">
      <protection locked="0"/>
    </xf>
    <xf numFmtId="3" fontId="6" fillId="0" borderId="47" xfId="2" applyNumberFormat="1" applyFont="1" applyBorder="1" applyProtection="1">
      <protection locked="0"/>
    </xf>
    <xf numFmtId="0" fontId="3" fillId="0" borderId="25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3" fontId="3" fillId="0" borderId="1" xfId="2" applyNumberFormat="1" applyFont="1" applyBorder="1" applyProtection="1">
      <protection locked="0"/>
    </xf>
    <xf numFmtId="0" fontId="2" fillId="0" borderId="25" xfId="1" applyFont="1" applyBorder="1"/>
    <xf numFmtId="0" fontId="5" fillId="0" borderId="42" xfId="1" applyFont="1" applyBorder="1" applyAlignment="1">
      <alignment horizontal="left" indent="1"/>
    </xf>
    <xf numFmtId="3" fontId="5" fillId="0" borderId="27" xfId="1" quotePrefix="1" applyNumberFormat="1" applyFont="1" applyBorder="1" applyAlignment="1">
      <alignment horizontal="right"/>
    </xf>
    <xf numFmtId="164" fontId="5" fillId="0" borderId="28" xfId="1" applyNumberFormat="1" applyFont="1" applyBorder="1" applyAlignment="1">
      <alignment horizontal="right"/>
    </xf>
    <xf numFmtId="3" fontId="5" fillId="0" borderId="28" xfId="1" quotePrefix="1" applyNumberFormat="1" applyFont="1" applyBorder="1" applyAlignment="1">
      <alignment horizontal="right"/>
    </xf>
    <xf numFmtId="164" fontId="5" fillId="0" borderId="29" xfId="1" applyNumberFormat="1" applyFont="1" applyBorder="1" applyAlignment="1">
      <alignment horizontal="right"/>
    </xf>
    <xf numFmtId="164" fontId="2" fillId="0" borderId="28" xfId="1" applyNumberFormat="1" applyFont="1" applyBorder="1" applyAlignment="1">
      <alignment horizontal="right"/>
    </xf>
    <xf numFmtId="164" fontId="2" fillId="0" borderId="31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0" fontId="5" fillId="0" borderId="0" xfId="1" quotePrefix="1" applyFont="1" applyAlignment="1">
      <alignment horizontal="left"/>
    </xf>
    <xf numFmtId="0" fontId="3" fillId="0" borderId="41" xfId="1" applyFont="1" applyBorder="1" applyAlignment="1">
      <alignment horizontal="right"/>
    </xf>
    <xf numFmtId="0" fontId="3" fillId="0" borderId="13" xfId="1" applyFont="1" applyBorder="1" applyAlignment="1">
      <alignment horizontal="right"/>
    </xf>
    <xf numFmtId="0" fontId="3" fillId="0" borderId="13" xfId="1" applyFont="1" applyBorder="1"/>
    <xf numFmtId="0" fontId="3" fillId="0" borderId="22" xfId="1" applyFont="1" applyBorder="1" applyAlignment="1">
      <alignment horizontal="right"/>
    </xf>
  </cellXfs>
  <cellStyles count="3">
    <cellStyle name="Normal" xfId="0" builtinId="0"/>
    <cellStyle name="Normal 2" xfId="1" xr:uid="{29DDF6E4-A78F-4CCD-BCE3-1E690D796109}"/>
    <cellStyle name="Normal_DARIEN1" xfId="2" xr:uid="{416A3A28-121A-48D9-862E-95900DC8AC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n%20Nacional/Cuadros%20del%20Boletin%20-%202020.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Users\Base_de_Informaci&#243;n\Base%20de%20Datos%20Zoonosis\Zoonosis_2012\cuadro%20Zooonosis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1.0.69\Marisol%20-%20Marilexzy\Documents%20and%20Settings\usuario\Mis%20documentos\Anuario%202006\ANUARIO%202006\Documents%20and%20Settings\gmcleary\Mis%20documentos\ANUARIOS\anuario%202004\archivos%20del%20normativo\salud%20bucal\SALUD%20BUCAL\CUADRO_42%202003.xls?4D1E05FD" TargetMode="External"/><Relationship Id="rId1" Type="http://schemas.openxmlformats.org/officeDocument/2006/relationships/externalLinkPath" Target="file:///\\4D1E05FD\CUADRO_4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/Mis%20documentos/Anuario%202006/ANUARIO%202006/Documents%20and%20Settings/gmcleary/Mis%20documentos/ANUARIOS/anuario%202004/archivos%20del%20normativo/salud%20bucal/SALUD%20BUCAL/CUADRO_42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Marisol%20-%20Marilexzy\Documents%20and%20Settings\gmcleary\Mis%20documentos\ANUARIOS\anuario%202004\archivos%20del%20normativo\salud%20bucal\SALUD%20BUCAL\CUADRO_42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%202005\Documents%20and%20Settings\gmcleary\Mis%20documentos\ANUARIOS\anuario%202004\archivos%20del%20normativo\salud%20bucal\SALUD%20BUCAL\CUADRO_42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portada"/>
      <sheetName val="Colaboradores"/>
      <sheetName val="Introducción"/>
      <sheetName val="INDICE"/>
      <sheetName val="Signos Convencionales"/>
      <sheetName val="C01 "/>
      <sheetName val="CO2"/>
      <sheetName val="CO3"/>
      <sheetName val="C04"/>
      <sheetName val="C05"/>
      <sheetName val="C06"/>
      <sheetName val="C07"/>
      <sheetName val="C08 "/>
      <sheetName val="C09"/>
      <sheetName val="C10"/>
      <sheetName val="C11"/>
      <sheetName val="C12"/>
      <sheetName val="C13"/>
      <sheetName val="C14"/>
      <sheetName val="C15"/>
      <sheetName val="C16"/>
      <sheetName val="C-17"/>
      <sheetName val="C-18"/>
      <sheetName val="C-22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  <sheetName val="C38"/>
      <sheetName val="C40"/>
      <sheetName val="C41"/>
      <sheetName val="C42"/>
      <sheetName val="C43"/>
      <sheetName val="C44"/>
      <sheetName val="C45"/>
      <sheetName val="C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  <sheetName val="cuad-13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31125-B60C-43AB-9829-3436774FDE4A}">
  <dimension ref="A1:T144"/>
  <sheetViews>
    <sheetView showGridLines="0" tabSelected="1" view="pageBreakPreview" zoomScaleSheetLayoutView="100" workbookViewId="0">
      <selection activeCell="H152" sqref="H152"/>
    </sheetView>
  </sheetViews>
  <sheetFormatPr baseColWidth="10" defaultRowHeight="17.25" customHeight="1" x14ac:dyDescent="0.25"/>
  <cols>
    <col min="1" max="1" width="2.28515625" style="2" customWidth="1"/>
    <col min="2" max="2" width="58.42578125" style="26" customWidth="1"/>
    <col min="3" max="3" width="10.85546875" style="67" customWidth="1"/>
    <col min="4" max="7" width="10.85546875" style="32" customWidth="1"/>
    <col min="8" max="8" width="10.85546875" style="158" customWidth="1"/>
    <col min="9" max="9" width="10.85546875" style="73" customWidth="1"/>
    <col min="10" max="10" width="10.85546875" style="153" customWidth="1"/>
    <col min="11" max="11" width="10.85546875" style="73" customWidth="1"/>
    <col min="12" max="12" width="10.85546875" style="153" customWidth="1"/>
    <col min="13" max="13" width="10.85546875" style="73" customWidth="1"/>
    <col min="14" max="14" width="10.85546875" style="153" customWidth="1"/>
    <col min="15" max="15" width="2.5703125" style="2" hidden="1" customWidth="1"/>
    <col min="16" max="17" width="2.5703125" style="3" hidden="1" customWidth="1"/>
    <col min="18" max="18" width="10.140625" style="2" hidden="1" customWidth="1"/>
    <col min="19" max="19" width="10.7109375" style="2" hidden="1" customWidth="1"/>
    <col min="20" max="20" width="0" style="2" hidden="1" customWidth="1"/>
    <col min="21" max="16384" width="11.42578125" style="2"/>
  </cols>
  <sheetData>
    <row r="1" spans="1:19" ht="17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ht="17.25" customHeight="1" thickBo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P2" s="5"/>
      <c r="Q2" s="5"/>
    </row>
    <row r="3" spans="1:19" ht="17.25" customHeight="1" thickTop="1" x14ac:dyDescent="0.25">
      <c r="A3" s="6" t="s">
        <v>2</v>
      </c>
      <c r="B3" s="6"/>
      <c r="C3" s="7">
        <v>2019</v>
      </c>
      <c r="D3" s="8"/>
      <c r="E3" s="8"/>
      <c r="F3" s="8"/>
      <c r="G3" s="8"/>
      <c r="H3" s="9"/>
      <c r="I3" s="10">
        <v>2020</v>
      </c>
      <c r="J3" s="11"/>
      <c r="K3" s="11"/>
      <c r="L3" s="11"/>
      <c r="M3" s="11"/>
      <c r="N3" s="11"/>
    </row>
    <row r="4" spans="1:19" ht="17.25" customHeight="1" x14ac:dyDescent="0.25">
      <c r="A4" s="12"/>
      <c r="B4" s="12"/>
      <c r="C4" s="13" t="s">
        <v>3</v>
      </c>
      <c r="D4" s="14"/>
      <c r="E4" s="15" t="s">
        <v>4</v>
      </c>
      <c r="F4" s="15"/>
      <c r="G4" s="15"/>
      <c r="H4" s="16"/>
      <c r="I4" s="13" t="s">
        <v>3</v>
      </c>
      <c r="J4" s="14"/>
      <c r="K4" s="15" t="s">
        <v>4</v>
      </c>
      <c r="L4" s="15"/>
      <c r="M4" s="15"/>
      <c r="N4" s="16"/>
    </row>
    <row r="5" spans="1:19" ht="17.25" customHeight="1" x14ac:dyDescent="0.25">
      <c r="A5" s="12"/>
      <c r="B5" s="12"/>
      <c r="C5" s="17"/>
      <c r="D5" s="18"/>
      <c r="E5" s="15" t="s">
        <v>5</v>
      </c>
      <c r="F5" s="15"/>
      <c r="G5" s="15" t="s">
        <v>6</v>
      </c>
      <c r="H5" s="16"/>
      <c r="I5" s="17"/>
      <c r="J5" s="18"/>
      <c r="K5" s="15" t="s">
        <v>5</v>
      </c>
      <c r="L5" s="15"/>
      <c r="M5" s="15" t="s">
        <v>6</v>
      </c>
      <c r="N5" s="16"/>
    </row>
    <row r="6" spans="1:19" ht="17.25" customHeight="1" thickBot="1" x14ac:dyDescent="0.3">
      <c r="A6" s="19"/>
      <c r="B6" s="19"/>
      <c r="C6" s="20" t="s">
        <v>7</v>
      </c>
      <c r="D6" s="21" t="s">
        <v>8</v>
      </c>
      <c r="E6" s="21" t="s">
        <v>7</v>
      </c>
      <c r="F6" s="21" t="s">
        <v>8</v>
      </c>
      <c r="G6" s="21" t="s">
        <v>7</v>
      </c>
      <c r="H6" s="22" t="s">
        <v>8</v>
      </c>
      <c r="I6" s="20" t="s">
        <v>7</v>
      </c>
      <c r="J6" s="23" t="s">
        <v>8</v>
      </c>
      <c r="K6" s="21" t="s">
        <v>7</v>
      </c>
      <c r="L6" s="23" t="s">
        <v>8</v>
      </c>
      <c r="M6" s="21" t="s">
        <v>7</v>
      </c>
      <c r="N6" s="24" t="s">
        <v>8</v>
      </c>
      <c r="P6" s="25"/>
      <c r="Q6" s="25"/>
    </row>
    <row r="7" spans="1:19" ht="17.25" customHeight="1" thickTop="1" x14ac:dyDescent="0.25">
      <c r="C7" s="27"/>
      <c r="D7" s="28"/>
      <c r="E7" s="28"/>
      <c r="F7" s="28"/>
      <c r="G7" s="28"/>
      <c r="H7" s="29"/>
      <c r="I7" s="30"/>
      <c r="J7" s="31"/>
      <c r="K7" s="32"/>
      <c r="L7" s="31"/>
      <c r="M7" s="32"/>
      <c r="N7" s="33"/>
      <c r="O7" s="34">
        <v>2019</v>
      </c>
      <c r="P7" s="34"/>
      <c r="Q7" s="34"/>
    </row>
    <row r="8" spans="1:19" s="35" customFormat="1" ht="17.25" customHeight="1" x14ac:dyDescent="0.2">
      <c r="A8" s="35" t="s">
        <v>9</v>
      </c>
      <c r="B8" s="36"/>
      <c r="C8" s="37">
        <v>20049</v>
      </c>
      <c r="D8" s="38">
        <f>+C8/O8*100000</f>
        <v>475.22902203655627</v>
      </c>
      <c r="E8" s="39">
        <v>11484</v>
      </c>
      <c r="F8" s="38">
        <f>+E8/P8*100000</f>
        <v>542.86116765258396</v>
      </c>
      <c r="G8" s="39">
        <v>8565</v>
      </c>
      <c r="H8" s="40">
        <f>+G8/Q8*100000</f>
        <v>407.20754986093607</v>
      </c>
      <c r="I8" s="41">
        <v>25151</v>
      </c>
      <c r="J8" s="38">
        <f>I8/$S$8*100000</f>
        <v>587.84620778310148</v>
      </c>
      <c r="K8" s="42">
        <v>14729</v>
      </c>
      <c r="L8" s="38">
        <f>K8/$S$9*100000</f>
        <v>686.73005713347902</v>
      </c>
      <c r="M8" s="42">
        <v>10422</v>
      </c>
      <c r="N8" s="43">
        <f>M8/$S$10*100000</f>
        <v>488.4477559617153</v>
      </c>
      <c r="O8" s="44">
        <v>4218808</v>
      </c>
      <c r="P8" s="45">
        <v>2115458</v>
      </c>
      <c r="Q8" s="46">
        <v>2103350</v>
      </c>
      <c r="R8" s="35" t="s">
        <v>10</v>
      </c>
      <c r="S8" s="35">
        <v>4278500</v>
      </c>
    </row>
    <row r="9" spans="1:19" ht="17.25" customHeight="1" x14ac:dyDescent="0.25">
      <c r="C9" s="47"/>
      <c r="D9" s="31"/>
      <c r="E9" s="48"/>
      <c r="F9" s="31"/>
      <c r="G9" s="48"/>
      <c r="H9" s="49"/>
      <c r="I9" s="30"/>
      <c r="J9" s="38"/>
      <c r="K9" s="32"/>
      <c r="L9" s="38"/>
      <c r="M9" s="32"/>
      <c r="N9" s="43"/>
      <c r="O9" s="50"/>
      <c r="P9" s="51"/>
      <c r="S9" s="2">
        <v>2144802</v>
      </c>
    </row>
    <row r="10" spans="1:19" ht="17.25" customHeight="1" x14ac:dyDescent="0.25">
      <c r="B10" s="26" t="s">
        <v>11</v>
      </c>
      <c r="C10" s="47" t="s">
        <v>12</v>
      </c>
      <c r="D10" s="31" t="s">
        <v>12</v>
      </c>
      <c r="E10" s="48" t="s">
        <v>12</v>
      </c>
      <c r="F10" s="31" t="s">
        <v>12</v>
      </c>
      <c r="G10" s="48" t="s">
        <v>12</v>
      </c>
      <c r="H10" s="49" t="s">
        <v>12</v>
      </c>
      <c r="I10" s="30">
        <v>4835</v>
      </c>
      <c r="J10" s="31">
        <f t="shared" ref="J10:J16" si="0">I10/$S$8*100000</f>
        <v>113.00689493981535</v>
      </c>
      <c r="K10" s="32">
        <v>3018</v>
      </c>
      <c r="L10" s="31">
        <f t="shared" ref="L10:L16" si="1">K10/$S$9*100000</f>
        <v>140.71228952602618</v>
      </c>
      <c r="M10" s="32">
        <v>1817</v>
      </c>
      <c r="N10" s="33">
        <f t="shared" ref="N10:N16" si="2">M10/$S$10*100000</f>
        <v>85.157318420882433</v>
      </c>
      <c r="O10" s="50"/>
      <c r="P10" s="51"/>
      <c r="S10" s="2">
        <v>2133698</v>
      </c>
    </row>
    <row r="11" spans="1:19" ht="17.25" customHeight="1" x14ac:dyDescent="0.25">
      <c r="A11" s="52" t="s">
        <v>13</v>
      </c>
      <c r="B11" s="52"/>
      <c r="C11" s="47">
        <v>3307</v>
      </c>
      <c r="D11" s="31">
        <v>78.400000000000006</v>
      </c>
      <c r="E11" s="48">
        <v>1692</v>
      </c>
      <c r="F11" s="31">
        <v>80</v>
      </c>
      <c r="G11" s="48">
        <v>1615</v>
      </c>
      <c r="H11" s="49">
        <v>76.8</v>
      </c>
      <c r="I11" s="30">
        <v>3392</v>
      </c>
      <c r="J11" s="31">
        <f t="shared" si="0"/>
        <v>79.28012153792217</v>
      </c>
      <c r="K11" s="32">
        <v>1794</v>
      </c>
      <c r="L11" s="31">
        <f t="shared" si="1"/>
        <v>83.644084628790921</v>
      </c>
      <c r="M11" s="32">
        <v>1598</v>
      </c>
      <c r="N11" s="33">
        <f t="shared" si="2"/>
        <v>74.893447901249374</v>
      </c>
      <c r="O11" s="53"/>
      <c r="P11" s="54"/>
    </row>
    <row r="12" spans="1:19" ht="17.25" customHeight="1" x14ac:dyDescent="0.25">
      <c r="A12" s="52" t="s">
        <v>14</v>
      </c>
      <c r="B12" s="52"/>
      <c r="C12" s="47">
        <v>1763</v>
      </c>
      <c r="D12" s="31">
        <v>41.8</v>
      </c>
      <c r="E12" s="48">
        <v>1060</v>
      </c>
      <c r="F12" s="31">
        <v>50.1</v>
      </c>
      <c r="G12" s="48">
        <v>703</v>
      </c>
      <c r="H12" s="49">
        <v>33.4</v>
      </c>
      <c r="I12" s="30">
        <v>2018</v>
      </c>
      <c r="J12" s="31">
        <f t="shared" si="0"/>
        <v>47.166062872502046</v>
      </c>
      <c r="K12" s="32">
        <v>1219</v>
      </c>
      <c r="L12" s="31">
        <f t="shared" si="1"/>
        <v>56.835083145204081</v>
      </c>
      <c r="M12" s="32">
        <v>799</v>
      </c>
      <c r="N12" s="33">
        <f t="shared" si="2"/>
        <v>37.446723950624687</v>
      </c>
      <c r="O12" s="53"/>
      <c r="P12" s="54"/>
    </row>
    <row r="13" spans="1:19" ht="17.25" customHeight="1" x14ac:dyDescent="0.25">
      <c r="A13" s="52" t="s">
        <v>15</v>
      </c>
      <c r="B13" s="52"/>
      <c r="C13" s="47">
        <v>1767</v>
      </c>
      <c r="D13" s="31">
        <v>41.9</v>
      </c>
      <c r="E13" s="48">
        <v>964</v>
      </c>
      <c r="F13" s="31">
        <v>45.6</v>
      </c>
      <c r="G13" s="48">
        <v>803</v>
      </c>
      <c r="H13" s="49">
        <v>38.200000000000003</v>
      </c>
      <c r="I13" s="30">
        <v>1767</v>
      </c>
      <c r="J13" s="31">
        <f t="shared" si="0"/>
        <v>41.299520860114526</v>
      </c>
      <c r="K13" s="32">
        <v>1003</v>
      </c>
      <c r="L13" s="31">
        <f t="shared" si="1"/>
        <v>46.76422345745668</v>
      </c>
      <c r="M13" s="32">
        <v>764</v>
      </c>
      <c r="N13" s="33">
        <f t="shared" si="2"/>
        <v>35.806379347030365</v>
      </c>
      <c r="O13" s="53"/>
      <c r="P13" s="54"/>
    </row>
    <row r="14" spans="1:19" ht="17.25" customHeight="1" x14ac:dyDescent="0.25">
      <c r="A14" s="26" t="s">
        <v>16</v>
      </c>
      <c r="B14" s="2"/>
      <c r="C14" s="47">
        <v>1401</v>
      </c>
      <c r="D14" s="31">
        <v>33.200000000000003</v>
      </c>
      <c r="E14" s="48">
        <v>691</v>
      </c>
      <c r="F14" s="31">
        <v>32.700000000000003</v>
      </c>
      <c r="G14" s="48">
        <v>710</v>
      </c>
      <c r="H14" s="49">
        <v>33.799999999999997</v>
      </c>
      <c r="I14" s="30">
        <v>1820</v>
      </c>
      <c r="J14" s="31">
        <f t="shared" si="0"/>
        <v>42.538272759144562</v>
      </c>
      <c r="K14" s="32">
        <v>905</v>
      </c>
      <c r="L14" s="31">
        <f t="shared" si="1"/>
        <v>42.195037117645363</v>
      </c>
      <c r="M14" s="32">
        <v>915</v>
      </c>
      <c r="N14" s="33">
        <f t="shared" si="2"/>
        <v>42.883294636823017</v>
      </c>
      <c r="O14" s="53"/>
      <c r="P14" s="54"/>
    </row>
    <row r="15" spans="1:19" ht="17.25" customHeight="1" x14ac:dyDescent="0.25">
      <c r="A15" s="52" t="s">
        <v>17</v>
      </c>
      <c r="B15" s="2"/>
      <c r="C15" s="47">
        <v>1431</v>
      </c>
      <c r="D15" s="31">
        <v>33.9</v>
      </c>
      <c r="E15" s="48">
        <v>1223</v>
      </c>
      <c r="F15" s="31">
        <v>57.8</v>
      </c>
      <c r="G15" s="48">
        <v>208</v>
      </c>
      <c r="H15" s="49">
        <v>9.9</v>
      </c>
      <c r="I15" s="30" t="s">
        <v>12</v>
      </c>
      <c r="J15" s="31" t="s">
        <v>12</v>
      </c>
      <c r="K15" s="32" t="s">
        <v>12</v>
      </c>
      <c r="L15" s="31" t="s">
        <v>12</v>
      </c>
      <c r="M15" s="32" t="s">
        <v>12</v>
      </c>
      <c r="N15" s="33" t="s">
        <v>12</v>
      </c>
      <c r="O15" s="53"/>
      <c r="P15" s="54"/>
    </row>
    <row r="16" spans="1:19" ht="17.25" customHeight="1" x14ac:dyDescent="0.25">
      <c r="A16" s="52" t="s">
        <v>18</v>
      </c>
      <c r="B16" s="2"/>
      <c r="C16" s="47">
        <v>10380</v>
      </c>
      <c r="D16" s="31">
        <f>+C16/4278500*100000</f>
        <v>242.60839079116511</v>
      </c>
      <c r="E16" s="48">
        <v>5854</v>
      </c>
      <c r="F16" s="31">
        <f>+E16/2144802*100000</f>
        <v>272.93894727811704</v>
      </c>
      <c r="G16" s="48">
        <v>4526</v>
      </c>
      <c r="H16" s="49">
        <f>+G16/2133698*100000</f>
        <v>212.11999073908302</v>
      </c>
      <c r="I16" s="30">
        <v>11319</v>
      </c>
      <c r="J16" s="31">
        <f t="shared" si="0"/>
        <v>264.55533481360288</v>
      </c>
      <c r="K16" s="32">
        <v>6790</v>
      </c>
      <c r="L16" s="31">
        <f t="shared" si="1"/>
        <v>316.57933925835579</v>
      </c>
      <c r="M16" s="32">
        <v>4529</v>
      </c>
      <c r="N16" s="33">
        <f t="shared" si="2"/>
        <v>212.26059170510541</v>
      </c>
      <c r="O16" s="53"/>
      <c r="P16" s="54"/>
    </row>
    <row r="17" spans="2:19" s="35" customFormat="1" ht="17.25" customHeight="1" x14ac:dyDescent="0.2">
      <c r="B17" s="36" t="s">
        <v>19</v>
      </c>
      <c r="C17" s="37">
        <v>685</v>
      </c>
      <c r="D17" s="38">
        <f>+C17/O18*100000</f>
        <v>391.15811353292867</v>
      </c>
      <c r="E17" s="39">
        <v>404</v>
      </c>
      <c r="F17" s="38">
        <f>+E17/$P$18*100000</f>
        <v>452.4684168085297</v>
      </c>
      <c r="G17" s="39">
        <v>281</v>
      </c>
      <c r="H17" s="40">
        <f>+G17/$Q$18*100000</f>
        <v>327.37991215499864</v>
      </c>
      <c r="I17" s="41">
        <v>798</v>
      </c>
      <c r="J17" s="38">
        <f>I17/$S$18*100000</f>
        <v>443.3579643313517</v>
      </c>
      <c r="K17" s="42">
        <v>495</v>
      </c>
      <c r="L17" s="38">
        <f>K17/$S$19*100000</f>
        <v>540.20429544264005</v>
      </c>
      <c r="M17" s="42">
        <v>303</v>
      </c>
      <c r="N17" s="43">
        <f>M17/$S$20*100000</f>
        <v>342.92310826410738</v>
      </c>
      <c r="O17" s="55"/>
      <c r="P17" s="56"/>
      <c r="Q17" s="46"/>
    </row>
    <row r="18" spans="2:19" ht="17.25" customHeight="1" x14ac:dyDescent="0.25">
      <c r="B18" s="26" t="s">
        <v>11</v>
      </c>
      <c r="C18" s="30" t="s">
        <v>12</v>
      </c>
      <c r="D18" s="32" t="s">
        <v>12</v>
      </c>
      <c r="E18" s="32" t="s">
        <v>12</v>
      </c>
      <c r="F18" s="32" t="s">
        <v>12</v>
      </c>
      <c r="G18" s="32" t="s">
        <v>12</v>
      </c>
      <c r="H18" s="57" t="s">
        <v>12</v>
      </c>
      <c r="I18" s="30">
        <v>133</v>
      </c>
      <c r="J18" s="31">
        <f t="shared" ref="J18:J24" si="3">I18/$S$18*100000</f>
        <v>73.892994055225287</v>
      </c>
      <c r="K18" s="32">
        <v>96</v>
      </c>
      <c r="L18" s="31">
        <f t="shared" ref="L18:L24" si="4">K18/$S$19*100000</f>
        <v>104.76689366160294</v>
      </c>
      <c r="M18" s="32">
        <v>37</v>
      </c>
      <c r="N18" s="33">
        <f t="shared" ref="N18:N24" si="5">M18/$S$20*100000</f>
        <v>41.875099028950409</v>
      </c>
      <c r="O18" s="58">
        <v>175121</v>
      </c>
      <c r="P18" s="59">
        <v>89288</v>
      </c>
      <c r="Q18" s="3">
        <v>85833</v>
      </c>
      <c r="R18" s="2" t="s">
        <v>20</v>
      </c>
      <c r="S18" s="2">
        <v>179990</v>
      </c>
    </row>
    <row r="19" spans="2:19" ht="17.25" customHeight="1" x14ac:dyDescent="0.25">
      <c r="B19" s="52" t="s">
        <v>21</v>
      </c>
      <c r="C19" s="47">
        <v>92</v>
      </c>
      <c r="D19" s="31">
        <f t="shared" ref="D19:D24" si="6">+C19/$O$18*100000</f>
        <v>52.535104299313048</v>
      </c>
      <c r="E19" s="32">
        <v>48</v>
      </c>
      <c r="F19" s="31">
        <f t="shared" ref="F19:F24" si="7">+E19/$P$18*100000</f>
        <v>53.75862377923125</v>
      </c>
      <c r="G19" s="48">
        <v>44</v>
      </c>
      <c r="H19" s="49">
        <f t="shared" ref="H19:H24" si="8">+G19/$Q$18*100000</f>
        <v>51.262334999359219</v>
      </c>
      <c r="I19" s="30">
        <v>82</v>
      </c>
      <c r="J19" s="31">
        <f t="shared" si="3"/>
        <v>45.558086560364465</v>
      </c>
      <c r="K19" s="32">
        <v>44</v>
      </c>
      <c r="L19" s="31">
        <f t="shared" si="4"/>
        <v>48.018159594901341</v>
      </c>
      <c r="M19" s="32">
        <v>38</v>
      </c>
      <c r="N19" s="33">
        <f t="shared" si="5"/>
        <v>43.006858462165283</v>
      </c>
      <c r="O19" s="58"/>
      <c r="P19" s="59"/>
      <c r="S19" s="2">
        <v>91632</v>
      </c>
    </row>
    <row r="20" spans="2:19" ht="17.25" customHeight="1" x14ac:dyDescent="0.25">
      <c r="B20" s="2" t="s">
        <v>22</v>
      </c>
      <c r="C20" s="47">
        <v>45</v>
      </c>
      <c r="D20" s="31">
        <f t="shared" si="6"/>
        <v>25.696518407272684</v>
      </c>
      <c r="E20" s="32">
        <v>40</v>
      </c>
      <c r="F20" s="31">
        <f t="shared" si="7"/>
        <v>44.798853149359381</v>
      </c>
      <c r="G20" s="48">
        <v>5</v>
      </c>
      <c r="H20" s="49">
        <f t="shared" si="8"/>
        <v>5.8252653408362756</v>
      </c>
      <c r="I20" s="30">
        <v>42</v>
      </c>
      <c r="J20" s="31">
        <f t="shared" si="3"/>
        <v>23.334629701650091</v>
      </c>
      <c r="K20" s="32">
        <v>35</v>
      </c>
      <c r="L20" s="31">
        <f t="shared" si="4"/>
        <v>38.196263314126071</v>
      </c>
      <c r="M20" s="32">
        <v>7</v>
      </c>
      <c r="N20" s="33">
        <f t="shared" si="5"/>
        <v>7.9223160325041313</v>
      </c>
      <c r="O20" s="53"/>
      <c r="P20" s="54"/>
      <c r="S20" s="2">
        <v>88358</v>
      </c>
    </row>
    <row r="21" spans="2:19" ht="17.25" customHeight="1" x14ac:dyDescent="0.25">
      <c r="B21" s="60" t="s">
        <v>23</v>
      </c>
      <c r="C21" s="47">
        <v>36</v>
      </c>
      <c r="D21" s="31">
        <f t="shared" si="6"/>
        <v>20.557214725818149</v>
      </c>
      <c r="E21" s="32">
        <v>29</v>
      </c>
      <c r="F21" s="31">
        <f t="shared" si="7"/>
        <v>32.479168533285545</v>
      </c>
      <c r="G21" s="48">
        <v>7</v>
      </c>
      <c r="H21" s="49">
        <f t="shared" si="8"/>
        <v>8.1553714771707853</v>
      </c>
      <c r="I21" s="30">
        <v>53</v>
      </c>
      <c r="J21" s="31">
        <f t="shared" si="3"/>
        <v>29.446080337796548</v>
      </c>
      <c r="K21" s="32">
        <v>44</v>
      </c>
      <c r="L21" s="31">
        <f t="shared" si="4"/>
        <v>48.018159594901341</v>
      </c>
      <c r="M21" s="32">
        <v>9</v>
      </c>
      <c r="N21" s="33">
        <f t="shared" si="5"/>
        <v>10.185834898933882</v>
      </c>
      <c r="O21" s="53"/>
      <c r="P21" s="54"/>
    </row>
    <row r="22" spans="2:19" ht="17.25" customHeight="1" x14ac:dyDescent="0.25">
      <c r="B22" s="52" t="s">
        <v>24</v>
      </c>
      <c r="C22" s="47">
        <v>51</v>
      </c>
      <c r="D22" s="31">
        <f t="shared" si="6"/>
        <v>29.122720861575711</v>
      </c>
      <c r="E22" s="32">
        <v>19</v>
      </c>
      <c r="F22" s="31">
        <f t="shared" si="7"/>
        <v>21.279455245945705</v>
      </c>
      <c r="G22" s="48">
        <v>32</v>
      </c>
      <c r="H22" s="49">
        <f t="shared" si="8"/>
        <v>37.281698181352155</v>
      </c>
      <c r="I22" s="30">
        <v>76</v>
      </c>
      <c r="J22" s="31">
        <f t="shared" si="3"/>
        <v>42.224568031557311</v>
      </c>
      <c r="K22" s="32">
        <v>43</v>
      </c>
      <c r="L22" s="31">
        <f t="shared" si="4"/>
        <v>46.926837785926317</v>
      </c>
      <c r="M22" s="32">
        <v>33</v>
      </c>
      <c r="N22" s="33">
        <f t="shared" si="5"/>
        <v>37.348061296090904</v>
      </c>
      <c r="O22" s="53"/>
      <c r="P22" s="54"/>
    </row>
    <row r="23" spans="2:19" ht="17.25" customHeight="1" x14ac:dyDescent="0.25">
      <c r="B23" s="52" t="s">
        <v>25</v>
      </c>
      <c r="C23" s="47">
        <v>39</v>
      </c>
      <c r="D23" s="31">
        <f t="shared" si="6"/>
        <v>22.270315952969661</v>
      </c>
      <c r="E23" s="32">
        <v>22</v>
      </c>
      <c r="F23" s="31">
        <f t="shared" si="7"/>
        <v>24.639369232147658</v>
      </c>
      <c r="G23" s="48">
        <v>17</v>
      </c>
      <c r="H23" s="49">
        <f t="shared" si="8"/>
        <v>19.805902158843335</v>
      </c>
      <c r="I23" s="30" t="s">
        <v>12</v>
      </c>
      <c r="J23" s="31" t="s">
        <v>12</v>
      </c>
      <c r="K23" s="32" t="s">
        <v>12</v>
      </c>
      <c r="L23" s="31" t="s">
        <v>12</v>
      </c>
      <c r="M23" s="32" t="s">
        <v>12</v>
      </c>
      <c r="N23" s="33" t="s">
        <v>12</v>
      </c>
      <c r="O23" s="53"/>
      <c r="P23" s="54"/>
    </row>
    <row r="24" spans="2:19" ht="17.25" customHeight="1" x14ac:dyDescent="0.25">
      <c r="B24" s="52" t="s">
        <v>18</v>
      </c>
      <c r="C24" s="47">
        <v>422</v>
      </c>
      <c r="D24" s="31">
        <f t="shared" si="6"/>
        <v>240.9762392859794</v>
      </c>
      <c r="E24" s="48">
        <v>246</v>
      </c>
      <c r="F24" s="31">
        <f t="shared" si="7"/>
        <v>275.51294686856016</v>
      </c>
      <c r="G24" s="48">
        <v>176</v>
      </c>
      <c r="H24" s="49">
        <f t="shared" si="8"/>
        <v>205.04933999743687</v>
      </c>
      <c r="I24" s="30">
        <v>412</v>
      </c>
      <c r="J24" s="31">
        <f t="shared" si="3"/>
        <v>228.90160564475806</v>
      </c>
      <c r="K24" s="32">
        <v>233</v>
      </c>
      <c r="L24" s="31">
        <f t="shared" si="4"/>
        <v>254.27798149118215</v>
      </c>
      <c r="M24" s="32">
        <v>179</v>
      </c>
      <c r="N24" s="33">
        <f t="shared" si="5"/>
        <v>202.58493854546276</v>
      </c>
      <c r="O24" s="61"/>
    </row>
    <row r="25" spans="2:19" s="35" customFormat="1" ht="17.25" customHeight="1" x14ac:dyDescent="0.2">
      <c r="B25" s="36" t="s">
        <v>26</v>
      </c>
      <c r="C25" s="37">
        <v>1344</v>
      </c>
      <c r="D25" s="38">
        <f>+C25/$O$25*100000</f>
        <v>506.88480816446605</v>
      </c>
      <c r="E25" s="39">
        <v>787</v>
      </c>
      <c r="F25" s="38">
        <f>+E25/$P$25*100000</f>
        <v>581.06910809214412</v>
      </c>
      <c r="G25" s="39">
        <v>557</v>
      </c>
      <c r="H25" s="40">
        <f>+G25/$Q$25*100000</f>
        <v>429.42278484916238</v>
      </c>
      <c r="I25" s="41">
        <v>1455</v>
      </c>
      <c r="J25" s="38">
        <f>I25/$S$27*100000</f>
        <v>545.00709820241298</v>
      </c>
      <c r="K25" s="42">
        <v>853</v>
      </c>
      <c r="L25" s="38">
        <f>K25/$S$28*100000</f>
        <v>625.20614211895781</v>
      </c>
      <c r="M25" s="42">
        <v>602</v>
      </c>
      <c r="N25" s="43">
        <f>M25/$S$29*100000</f>
        <v>461.18252715767539</v>
      </c>
      <c r="O25" s="62">
        <v>265149</v>
      </c>
      <c r="P25" s="63">
        <v>135440</v>
      </c>
      <c r="Q25" s="46">
        <v>129709</v>
      </c>
    </row>
    <row r="26" spans="2:19" ht="17.25" customHeight="1" x14ac:dyDescent="0.25">
      <c r="B26" s="52" t="s">
        <v>27</v>
      </c>
      <c r="C26" s="47">
        <v>226</v>
      </c>
      <c r="D26" s="31">
        <f>+C26/$O$25*100000</f>
        <v>85.235094230036694</v>
      </c>
      <c r="E26" s="48">
        <v>124</v>
      </c>
      <c r="F26" s="31">
        <f>+E26/$P$25*100000</f>
        <v>91.553455404607206</v>
      </c>
      <c r="G26" s="48">
        <v>102</v>
      </c>
      <c r="H26" s="49">
        <f>+G26/$Q$25*100000</f>
        <v>78.637565627674249</v>
      </c>
      <c r="I26" s="30">
        <v>213</v>
      </c>
      <c r="J26" s="31">
        <f t="shared" ref="J26:J32" si="9">I26/$S$27*100000</f>
        <v>79.78454427293056</v>
      </c>
      <c r="K26" s="32">
        <v>118</v>
      </c>
      <c r="L26" s="31">
        <f t="shared" ref="L26:L32" si="10">K26/$S$28*100000</f>
        <v>86.488071242716316</v>
      </c>
      <c r="M26" s="32">
        <v>95</v>
      </c>
      <c r="N26" s="33">
        <f t="shared" ref="N26:N32" si="11">M26/$S$29*100000</f>
        <v>72.777973554782662</v>
      </c>
      <c r="O26" s="53"/>
      <c r="P26" s="54"/>
    </row>
    <row r="27" spans="2:19" ht="17.25" customHeight="1" x14ac:dyDescent="0.25">
      <c r="B27" s="52" t="s">
        <v>28</v>
      </c>
      <c r="C27" s="47">
        <v>133</v>
      </c>
      <c r="D27" s="31">
        <f>+C27/$O$25*100000</f>
        <v>50.160475807941943</v>
      </c>
      <c r="E27" s="48">
        <v>74</v>
      </c>
      <c r="F27" s="31">
        <f>+E27/$P$25*100000</f>
        <v>54.636739515652685</v>
      </c>
      <c r="G27" s="48">
        <v>59</v>
      </c>
      <c r="H27" s="49">
        <f>+G27/$Q$25*100000</f>
        <v>45.486435019929225</v>
      </c>
      <c r="I27" s="30">
        <v>109</v>
      </c>
      <c r="J27" s="31">
        <f t="shared" si="9"/>
        <v>40.828710449527847</v>
      </c>
      <c r="K27" s="32">
        <v>63</v>
      </c>
      <c r="L27" s="31">
        <f t="shared" si="10"/>
        <v>46.17583464653498</v>
      </c>
      <c r="M27" s="32">
        <v>46</v>
      </c>
      <c r="N27" s="33">
        <f t="shared" si="11"/>
        <v>35.239860879157916</v>
      </c>
      <c r="O27" s="53"/>
      <c r="P27" s="54"/>
      <c r="R27" s="2" t="s">
        <v>29</v>
      </c>
      <c r="S27" s="2">
        <v>266969</v>
      </c>
    </row>
    <row r="28" spans="2:19" ht="17.25" customHeight="1" x14ac:dyDescent="0.25">
      <c r="B28" s="52" t="s">
        <v>30</v>
      </c>
      <c r="C28" s="47">
        <v>106</v>
      </c>
      <c r="D28" s="31">
        <f>+C28/$O$25*100000</f>
        <v>39.977522072495091</v>
      </c>
      <c r="E28" s="64">
        <v>59</v>
      </c>
      <c r="F28" s="31">
        <f>+E28/$P$25*100000</f>
        <v>43.561724748966334</v>
      </c>
      <c r="G28" s="64">
        <v>47</v>
      </c>
      <c r="H28" s="49">
        <f>+G28/$Q$25*100000</f>
        <v>36.234956710791081</v>
      </c>
      <c r="I28" s="30">
        <v>145</v>
      </c>
      <c r="J28" s="31">
        <f t="shared" si="9"/>
        <v>54.313422157628786</v>
      </c>
      <c r="K28" s="32">
        <v>98</v>
      </c>
      <c r="L28" s="31">
        <f t="shared" si="10"/>
        <v>71.829076116832198</v>
      </c>
      <c r="M28" s="32">
        <v>47</v>
      </c>
      <c r="N28" s="33">
        <f t="shared" si="11"/>
        <v>36.005944811313526</v>
      </c>
      <c r="O28" s="53"/>
      <c r="P28" s="54"/>
      <c r="S28" s="2">
        <v>136435</v>
      </c>
    </row>
    <row r="29" spans="2:19" ht="17.25" customHeight="1" x14ac:dyDescent="0.25">
      <c r="B29" s="52" t="s">
        <v>31</v>
      </c>
      <c r="C29" s="47">
        <v>101</v>
      </c>
      <c r="D29" s="31">
        <f>+C29/$O$25*100000</f>
        <v>38.091789899264185</v>
      </c>
      <c r="E29" s="64">
        <v>60</v>
      </c>
      <c r="F29" s="31">
        <f>+E29/$P$25*100000</f>
        <v>44.300059066745419</v>
      </c>
      <c r="G29" s="64">
        <v>41</v>
      </c>
      <c r="H29" s="49">
        <f>+G29/$Q$25*100000</f>
        <v>31.609217556222006</v>
      </c>
      <c r="I29" s="30">
        <v>116</v>
      </c>
      <c r="J29" s="31">
        <f t="shared" si="9"/>
        <v>43.450737726103029</v>
      </c>
      <c r="K29" s="32">
        <v>72</v>
      </c>
      <c r="L29" s="31">
        <f t="shared" si="10"/>
        <v>52.772382453182836</v>
      </c>
      <c r="M29" s="32">
        <v>44</v>
      </c>
      <c r="N29" s="33">
        <f t="shared" si="11"/>
        <v>33.707693014846704</v>
      </c>
      <c r="O29" s="53"/>
      <c r="P29" s="54"/>
      <c r="S29" s="2">
        <v>130534</v>
      </c>
    </row>
    <row r="30" spans="2:19" ht="17.25" customHeight="1" x14ac:dyDescent="0.25">
      <c r="B30" s="26" t="s">
        <v>11</v>
      </c>
      <c r="C30" s="30" t="s">
        <v>12</v>
      </c>
      <c r="D30" s="32" t="s">
        <v>12</v>
      </c>
      <c r="E30" s="32" t="s">
        <v>12</v>
      </c>
      <c r="F30" s="32" t="s">
        <v>12</v>
      </c>
      <c r="G30" s="32" t="s">
        <v>12</v>
      </c>
      <c r="H30" s="57" t="s">
        <v>12</v>
      </c>
      <c r="I30" s="30">
        <v>109</v>
      </c>
      <c r="J30" s="31">
        <f t="shared" si="9"/>
        <v>40.828710449527847</v>
      </c>
      <c r="K30" s="32">
        <v>77</v>
      </c>
      <c r="L30" s="31">
        <f t="shared" si="10"/>
        <v>56.437131234653862</v>
      </c>
      <c r="M30" s="32">
        <v>32</v>
      </c>
      <c r="N30" s="33">
        <f t="shared" si="11"/>
        <v>24.514685828979424</v>
      </c>
      <c r="O30" s="53"/>
      <c r="P30" s="54"/>
    </row>
    <row r="31" spans="2:19" ht="17.25" customHeight="1" x14ac:dyDescent="0.25">
      <c r="B31" s="65" t="s">
        <v>32</v>
      </c>
      <c r="C31" s="47">
        <v>84</v>
      </c>
      <c r="D31" s="31">
        <f>+C31/$O$25*100000</f>
        <v>31.680300510279128</v>
      </c>
      <c r="E31" s="32">
        <v>42</v>
      </c>
      <c r="F31" s="31">
        <f>+E31/$P$25*100000</f>
        <v>31.010041346721792</v>
      </c>
      <c r="G31" s="32">
        <v>42</v>
      </c>
      <c r="H31" s="49">
        <f>+G31/$Q$25*100000</f>
        <v>32.380174081983519</v>
      </c>
      <c r="I31" s="30" t="s">
        <v>12</v>
      </c>
      <c r="J31" s="31" t="s">
        <v>12</v>
      </c>
      <c r="K31" s="32" t="s">
        <v>12</v>
      </c>
      <c r="L31" s="31" t="s">
        <v>12</v>
      </c>
      <c r="M31" s="32" t="s">
        <v>12</v>
      </c>
      <c r="N31" s="33" t="s">
        <v>12</v>
      </c>
      <c r="O31" s="53"/>
      <c r="P31" s="54"/>
    </row>
    <row r="32" spans="2:19" ht="17.25" customHeight="1" x14ac:dyDescent="0.25">
      <c r="B32" s="52" t="s">
        <v>18</v>
      </c>
      <c r="C32" s="47">
        <v>694</v>
      </c>
      <c r="D32" s="31">
        <f>+C32/$O$25*100000</f>
        <v>261.73962564444901</v>
      </c>
      <c r="E32" s="66">
        <v>428</v>
      </c>
      <c r="F32" s="31">
        <f>+E32/$P$25*100000</f>
        <v>316.00708800945068</v>
      </c>
      <c r="G32" s="64">
        <v>266</v>
      </c>
      <c r="H32" s="49">
        <f>+G32/$Q$25*100000</f>
        <v>205.07443585256226</v>
      </c>
      <c r="I32" s="30">
        <v>763</v>
      </c>
      <c r="J32" s="31">
        <f t="shared" si="9"/>
        <v>285.80097314669496</v>
      </c>
      <c r="K32" s="32">
        <v>425</v>
      </c>
      <c r="L32" s="31">
        <f t="shared" si="10"/>
        <v>311.50364642503757</v>
      </c>
      <c r="M32" s="32">
        <v>338</v>
      </c>
      <c r="N32" s="33">
        <f t="shared" si="11"/>
        <v>258.93636906859513</v>
      </c>
      <c r="O32" s="53"/>
      <c r="P32" s="54"/>
    </row>
    <row r="33" spans="1:19" s="35" customFormat="1" ht="17.25" customHeight="1" x14ac:dyDescent="0.2">
      <c r="B33" s="36" t="s">
        <v>33</v>
      </c>
      <c r="C33" s="37">
        <v>1424</v>
      </c>
      <c r="D33" s="38">
        <f>+C33/$O$33*100000</f>
        <v>484.2549139631368</v>
      </c>
      <c r="E33" s="39">
        <v>836</v>
      </c>
      <c r="F33" s="38">
        <f>+E33/$P$33*100000</f>
        <v>561.29608368414335</v>
      </c>
      <c r="G33" s="39">
        <v>588</v>
      </c>
      <c r="H33" s="40">
        <f>+G33/$Q$33*100000</f>
        <v>405.18471047898623</v>
      </c>
      <c r="I33" s="41">
        <v>1851</v>
      </c>
      <c r="J33" s="38">
        <f>I33/$S$36*100000</f>
        <v>620.42474459013749</v>
      </c>
      <c r="K33" s="42">
        <v>1089</v>
      </c>
      <c r="L33" s="38">
        <f>K33/$S$37*100000</f>
        <v>720.74337829430692</v>
      </c>
      <c r="M33" s="42">
        <v>762</v>
      </c>
      <c r="N33" s="43">
        <f>M33/$S$38*100000</f>
        <v>517.48726655348048</v>
      </c>
      <c r="O33" s="62">
        <v>294060</v>
      </c>
      <c r="P33" s="63">
        <v>148941</v>
      </c>
      <c r="Q33" s="46">
        <v>145119</v>
      </c>
    </row>
    <row r="34" spans="1:19" ht="17.25" customHeight="1" x14ac:dyDescent="0.25">
      <c r="B34" s="26" t="s">
        <v>11</v>
      </c>
      <c r="C34" s="30" t="s">
        <v>12</v>
      </c>
      <c r="D34" s="32" t="s">
        <v>12</v>
      </c>
      <c r="E34" s="32" t="s">
        <v>12</v>
      </c>
      <c r="F34" s="32" t="s">
        <v>12</v>
      </c>
      <c r="G34" s="32" t="s">
        <v>12</v>
      </c>
      <c r="H34" s="57" t="s">
        <v>12</v>
      </c>
      <c r="I34" s="30">
        <v>319</v>
      </c>
      <c r="J34" s="31">
        <f t="shared" ref="J34:J40" si="12">I34/$S$36*100000</f>
        <v>106.92355133671198</v>
      </c>
      <c r="K34" s="32">
        <v>180</v>
      </c>
      <c r="L34" s="31">
        <f t="shared" ref="L34:L40" si="13">K34/$S$37*100000</f>
        <v>119.13113690814988</v>
      </c>
      <c r="M34" s="32">
        <v>139</v>
      </c>
      <c r="N34" s="33">
        <f t="shared" ref="N34:N40" si="14">M34/$S$38*100000</f>
        <v>94.397283531409172</v>
      </c>
      <c r="O34" s="58"/>
      <c r="P34" s="59"/>
    </row>
    <row r="35" spans="1:19" ht="17.25" customHeight="1" x14ac:dyDescent="0.25">
      <c r="B35" s="52" t="s">
        <v>34</v>
      </c>
      <c r="C35" s="47">
        <v>202</v>
      </c>
      <c r="D35" s="31">
        <f t="shared" ref="D35:D40" si="15">+C35/$O$33*100000</f>
        <v>68.693463918928103</v>
      </c>
      <c r="E35" s="48">
        <v>92</v>
      </c>
      <c r="F35" s="31">
        <f t="shared" ref="F35:F40" si="16">+E35/$P$33*100000</f>
        <v>61.769425477202383</v>
      </c>
      <c r="G35" s="48">
        <v>110</v>
      </c>
      <c r="H35" s="49">
        <f t="shared" ref="H35:H40" si="17">+G35/$Q$33*100000</f>
        <v>75.799860803891974</v>
      </c>
      <c r="I35" s="30">
        <v>216</v>
      </c>
      <c r="J35" s="31">
        <f t="shared" si="12"/>
        <v>72.399646046174894</v>
      </c>
      <c r="K35" s="32">
        <v>102</v>
      </c>
      <c r="L35" s="31">
        <f t="shared" si="13"/>
        <v>67.507644247951603</v>
      </c>
      <c r="M35" s="32">
        <v>114</v>
      </c>
      <c r="N35" s="33">
        <f t="shared" si="14"/>
        <v>77.41935483870968</v>
      </c>
      <c r="O35" s="53"/>
      <c r="P35" s="54"/>
    </row>
    <row r="36" spans="1:19" ht="17.25" customHeight="1" x14ac:dyDescent="0.25">
      <c r="B36" s="52" t="s">
        <v>35</v>
      </c>
      <c r="C36" s="47">
        <v>159</v>
      </c>
      <c r="D36" s="31">
        <f t="shared" si="15"/>
        <v>54.070597837176081</v>
      </c>
      <c r="E36" s="48">
        <v>104</v>
      </c>
      <c r="F36" s="31">
        <f t="shared" si="16"/>
        <v>69.826307061185304</v>
      </c>
      <c r="G36" s="48">
        <v>55</v>
      </c>
      <c r="H36" s="49">
        <f t="shared" si="17"/>
        <v>37.899930401945987</v>
      </c>
      <c r="I36" s="30">
        <v>202</v>
      </c>
      <c r="J36" s="31">
        <f t="shared" si="12"/>
        <v>67.707076395033923</v>
      </c>
      <c r="K36" s="32">
        <v>124</v>
      </c>
      <c r="L36" s="31">
        <f t="shared" si="13"/>
        <v>82.068116536725483</v>
      </c>
      <c r="M36" s="32">
        <v>78</v>
      </c>
      <c r="N36" s="33">
        <f t="shared" si="14"/>
        <v>52.97113752122241</v>
      </c>
      <c r="O36" s="53"/>
      <c r="P36" s="54"/>
      <c r="R36" s="2" t="s">
        <v>36</v>
      </c>
      <c r="S36" s="2">
        <v>298344</v>
      </c>
    </row>
    <row r="37" spans="1:19" ht="17.25" customHeight="1" x14ac:dyDescent="0.25">
      <c r="B37" s="2" t="s">
        <v>22</v>
      </c>
      <c r="C37" s="47">
        <v>153</v>
      </c>
      <c r="D37" s="31">
        <f t="shared" si="15"/>
        <v>52.030197918792091</v>
      </c>
      <c r="E37" s="48">
        <v>127</v>
      </c>
      <c r="F37" s="31">
        <f t="shared" si="16"/>
        <v>85.268663430485887</v>
      </c>
      <c r="G37" s="48">
        <v>26</v>
      </c>
      <c r="H37" s="49">
        <f t="shared" si="17"/>
        <v>17.916330735465376</v>
      </c>
      <c r="I37" s="30">
        <v>160</v>
      </c>
      <c r="J37" s="31">
        <f t="shared" si="12"/>
        <v>53.629367441611031</v>
      </c>
      <c r="K37" s="32">
        <v>141</v>
      </c>
      <c r="L37" s="31">
        <f t="shared" si="13"/>
        <v>93.319390578050744</v>
      </c>
      <c r="M37" s="32">
        <v>19</v>
      </c>
      <c r="N37" s="33">
        <f t="shared" si="14"/>
        <v>12.903225806451614</v>
      </c>
      <c r="O37" s="53"/>
      <c r="P37" s="54"/>
      <c r="Q37" s="3" t="s">
        <v>37</v>
      </c>
      <c r="S37" s="2">
        <v>151094</v>
      </c>
    </row>
    <row r="38" spans="1:19" ht="17.25" customHeight="1" x14ac:dyDescent="0.25">
      <c r="B38" s="52" t="s">
        <v>38</v>
      </c>
      <c r="C38" s="47">
        <v>110</v>
      </c>
      <c r="D38" s="31">
        <f t="shared" si="15"/>
        <v>37.407331837040061</v>
      </c>
      <c r="E38" s="48">
        <v>57</v>
      </c>
      <c r="F38" s="31">
        <f t="shared" si="16"/>
        <v>38.270187523918871</v>
      </c>
      <c r="G38" s="48">
        <v>53</v>
      </c>
      <c r="H38" s="49">
        <f t="shared" si="17"/>
        <v>36.521751114602502</v>
      </c>
      <c r="I38" s="30">
        <v>140</v>
      </c>
      <c r="J38" s="31">
        <f t="shared" si="12"/>
        <v>46.925696511409647</v>
      </c>
      <c r="K38" s="32">
        <v>87</v>
      </c>
      <c r="L38" s="31">
        <f t="shared" si="13"/>
        <v>57.580049505605778</v>
      </c>
      <c r="M38" s="32">
        <v>53</v>
      </c>
      <c r="N38" s="33">
        <f t="shared" si="14"/>
        <v>35.993208828522924</v>
      </c>
      <c r="O38" s="53"/>
      <c r="P38" s="54"/>
      <c r="S38" s="2">
        <v>147250</v>
      </c>
    </row>
    <row r="39" spans="1:19" ht="17.25" customHeight="1" x14ac:dyDescent="0.25">
      <c r="B39" s="52" t="s">
        <v>39</v>
      </c>
      <c r="C39" s="47">
        <v>110</v>
      </c>
      <c r="D39" s="31">
        <f t="shared" si="15"/>
        <v>37.407331837040061</v>
      </c>
      <c r="E39" s="48">
        <v>56</v>
      </c>
      <c r="F39" s="31">
        <f t="shared" si="16"/>
        <v>37.598780725253626</v>
      </c>
      <c r="G39" s="48">
        <v>54</v>
      </c>
      <c r="H39" s="49">
        <f t="shared" si="17"/>
        <v>37.210840758274244</v>
      </c>
      <c r="I39" s="30" t="s">
        <v>12</v>
      </c>
      <c r="J39" s="31" t="s">
        <v>12</v>
      </c>
      <c r="K39" s="32" t="s">
        <v>12</v>
      </c>
      <c r="L39" s="31" t="s">
        <v>12</v>
      </c>
      <c r="M39" s="32" t="s">
        <v>12</v>
      </c>
      <c r="N39" s="33" t="s">
        <v>12</v>
      </c>
      <c r="O39" s="53"/>
      <c r="P39" s="54"/>
    </row>
    <row r="40" spans="1:19" ht="17.25" customHeight="1" x14ac:dyDescent="0.25">
      <c r="B40" s="52" t="s">
        <v>18</v>
      </c>
      <c r="C40" s="47">
        <v>690</v>
      </c>
      <c r="D40" s="31">
        <f t="shared" si="15"/>
        <v>234.64599061416035</v>
      </c>
      <c r="E40" s="48">
        <v>400</v>
      </c>
      <c r="F40" s="31">
        <f t="shared" si="16"/>
        <v>268.56271946609729</v>
      </c>
      <c r="G40" s="48">
        <v>290</v>
      </c>
      <c r="H40" s="49">
        <f t="shared" si="17"/>
        <v>199.83599666480615</v>
      </c>
      <c r="I40" s="30">
        <v>814</v>
      </c>
      <c r="J40" s="31">
        <f t="shared" si="12"/>
        <v>272.83940685919612</v>
      </c>
      <c r="K40" s="32">
        <v>455</v>
      </c>
      <c r="L40" s="31">
        <f t="shared" si="13"/>
        <v>301.13704051782338</v>
      </c>
      <c r="M40" s="32">
        <v>359</v>
      </c>
      <c r="N40" s="33">
        <f t="shared" si="14"/>
        <v>243.80305602716467</v>
      </c>
      <c r="O40" s="53"/>
      <c r="P40" s="54"/>
    </row>
    <row r="41" spans="1:19" s="35" customFormat="1" ht="17.25" customHeight="1" x14ac:dyDescent="0.2">
      <c r="B41" s="36" t="s">
        <v>40</v>
      </c>
      <c r="C41" s="37">
        <v>2547</v>
      </c>
      <c r="D41" s="38">
        <f>+C41/$O$41*100000</f>
        <v>551.2318853126028</v>
      </c>
      <c r="E41" s="39">
        <v>1509</v>
      </c>
      <c r="F41" s="38">
        <f>+E41/$P$41*100000</f>
        <v>650.25165471594039</v>
      </c>
      <c r="G41" s="39">
        <v>1038</v>
      </c>
      <c r="H41" s="40">
        <f>+G41/$Q$41*100000</f>
        <v>451.3200459146405</v>
      </c>
      <c r="I41" s="41">
        <v>3038</v>
      </c>
      <c r="J41" s="38">
        <f t="shared" ref="J41:J46" si="18">I41/$S$42*100000</f>
        <v>653.98309718472979</v>
      </c>
      <c r="K41" s="42">
        <v>1815</v>
      </c>
      <c r="L41" s="38">
        <f t="shared" ref="L41:L46" si="19">K41/$S$43*100000</f>
        <v>778.33526309018396</v>
      </c>
      <c r="M41" s="42">
        <v>1223</v>
      </c>
      <c r="N41" s="43">
        <f t="shared" ref="N41:N46" si="20">M41/$S$44*100000</f>
        <v>528.64083545135463</v>
      </c>
      <c r="O41" s="62">
        <v>462056</v>
      </c>
      <c r="P41" s="63">
        <v>232064</v>
      </c>
      <c r="Q41" s="46">
        <v>229992</v>
      </c>
    </row>
    <row r="42" spans="1:19" ht="17.25" customHeight="1" x14ac:dyDescent="0.25">
      <c r="B42" s="2" t="s">
        <v>11</v>
      </c>
      <c r="C42" s="30" t="s">
        <v>12</v>
      </c>
      <c r="D42" s="32" t="s">
        <v>12</v>
      </c>
      <c r="E42" s="32" t="s">
        <v>12</v>
      </c>
      <c r="F42" s="32" t="s">
        <v>12</v>
      </c>
      <c r="G42" s="32" t="s">
        <v>12</v>
      </c>
      <c r="H42" s="57" t="s">
        <v>12</v>
      </c>
      <c r="I42" s="67">
        <v>510</v>
      </c>
      <c r="J42" s="31">
        <f t="shared" si="18"/>
        <v>109.78649755240691</v>
      </c>
      <c r="K42" s="32">
        <v>310</v>
      </c>
      <c r="L42" s="31">
        <f t="shared" si="19"/>
        <v>132.93880526609203</v>
      </c>
      <c r="M42" s="32">
        <v>200</v>
      </c>
      <c r="N42" s="33">
        <f t="shared" si="20"/>
        <v>86.449850441758741</v>
      </c>
      <c r="O42" s="53"/>
      <c r="P42" s="54"/>
      <c r="R42" s="2" t="s">
        <v>41</v>
      </c>
      <c r="S42" s="2">
        <v>464538</v>
      </c>
    </row>
    <row r="43" spans="1:19" ht="17.25" customHeight="1" x14ac:dyDescent="0.25">
      <c r="B43" s="52" t="s">
        <v>21</v>
      </c>
      <c r="C43" s="47">
        <v>405</v>
      </c>
      <c r="D43" s="31">
        <f t="shared" ref="D43:D48" si="21">+C43/$O$41*100000</f>
        <v>87.651713212251323</v>
      </c>
      <c r="E43" s="32">
        <v>218</v>
      </c>
      <c r="F43" s="31">
        <f t="shared" ref="F43:F48" si="22">+E43/$P$41*100000</f>
        <v>93.939602868174291</v>
      </c>
      <c r="G43" s="32">
        <v>187</v>
      </c>
      <c r="H43" s="49">
        <f t="shared" ref="H43:H48" si="23">+G43/$Q$41*100000</f>
        <v>81.307175901770492</v>
      </c>
      <c r="I43" s="67">
        <v>407</v>
      </c>
      <c r="J43" s="31">
        <f t="shared" si="18"/>
        <v>87.613930399665904</v>
      </c>
      <c r="K43" s="32">
        <v>237</v>
      </c>
      <c r="L43" s="31">
        <f t="shared" si="19"/>
        <v>101.63386080020582</v>
      </c>
      <c r="M43" s="32">
        <v>170</v>
      </c>
      <c r="N43" s="33">
        <f t="shared" si="20"/>
        <v>73.482372875494931</v>
      </c>
      <c r="O43" s="53"/>
      <c r="P43" s="54"/>
      <c r="S43" s="2">
        <v>233190</v>
      </c>
    </row>
    <row r="44" spans="1:19" ht="17.25" customHeight="1" x14ac:dyDescent="0.25">
      <c r="B44" s="68" t="s">
        <v>42</v>
      </c>
      <c r="C44" s="69">
        <v>223</v>
      </c>
      <c r="D44" s="70">
        <f t="shared" si="21"/>
        <v>48.262548262548265</v>
      </c>
      <c r="E44" s="71">
        <v>142</v>
      </c>
      <c r="F44" s="70">
        <f t="shared" si="22"/>
        <v>61.190016547159409</v>
      </c>
      <c r="G44" s="71">
        <v>81</v>
      </c>
      <c r="H44" s="72">
        <f t="shared" si="23"/>
        <v>35.218616299697381</v>
      </c>
      <c r="I44" s="67">
        <v>210</v>
      </c>
      <c r="J44" s="31">
        <f t="shared" si="18"/>
        <v>45.206204874520488</v>
      </c>
      <c r="K44" s="32">
        <v>119</v>
      </c>
      <c r="L44" s="31">
        <f t="shared" si="19"/>
        <v>51.031347827951457</v>
      </c>
      <c r="M44" s="32">
        <v>91</v>
      </c>
      <c r="N44" s="33">
        <f t="shared" si="20"/>
        <v>39.334681951000228</v>
      </c>
      <c r="O44" s="53"/>
      <c r="P44" s="54"/>
      <c r="S44" s="2">
        <v>231348</v>
      </c>
    </row>
    <row r="45" spans="1:19" ht="17.25" customHeight="1" x14ac:dyDescent="0.25">
      <c r="B45" s="68" t="s">
        <v>43</v>
      </c>
      <c r="C45" s="69">
        <v>227</v>
      </c>
      <c r="D45" s="31">
        <f t="shared" si="21"/>
        <v>49.128244195508763</v>
      </c>
      <c r="E45" s="71">
        <v>115</v>
      </c>
      <c r="F45" s="31">
        <f t="shared" si="22"/>
        <v>49.555295091009377</v>
      </c>
      <c r="G45" s="71">
        <v>112</v>
      </c>
      <c r="H45" s="49">
        <f t="shared" si="23"/>
        <v>48.697345994643292</v>
      </c>
      <c r="I45" s="67">
        <v>304</v>
      </c>
      <c r="J45" s="31">
        <f t="shared" si="18"/>
        <v>65.441363246924908</v>
      </c>
      <c r="K45" s="32">
        <v>141</v>
      </c>
      <c r="L45" s="31">
        <f t="shared" si="19"/>
        <v>60.465714653287023</v>
      </c>
      <c r="M45" s="32">
        <v>163</v>
      </c>
      <c r="N45" s="33">
        <f t="shared" si="20"/>
        <v>70.456628110033364</v>
      </c>
      <c r="O45" s="53"/>
      <c r="P45" s="54"/>
    </row>
    <row r="46" spans="1:19" ht="17.25" customHeight="1" x14ac:dyDescent="0.25">
      <c r="B46" s="65" t="s">
        <v>32</v>
      </c>
      <c r="C46" s="30">
        <v>208</v>
      </c>
      <c r="D46" s="31">
        <f t="shared" si="21"/>
        <v>45.016188513946361</v>
      </c>
      <c r="E46" s="32">
        <v>119</v>
      </c>
      <c r="F46" s="31">
        <f t="shared" si="22"/>
        <v>51.278957528957527</v>
      </c>
      <c r="G46" s="32">
        <v>89</v>
      </c>
      <c r="H46" s="49">
        <f t="shared" si="23"/>
        <v>38.696998156457617</v>
      </c>
      <c r="I46" s="73">
        <v>210</v>
      </c>
      <c r="J46" s="31">
        <f t="shared" si="18"/>
        <v>45.206204874520488</v>
      </c>
      <c r="K46" s="73">
        <v>119</v>
      </c>
      <c r="L46" s="31">
        <f t="shared" si="19"/>
        <v>51.031347827951457</v>
      </c>
      <c r="M46" s="73">
        <v>91</v>
      </c>
      <c r="N46" s="33">
        <f t="shared" si="20"/>
        <v>39.334681951000228</v>
      </c>
      <c r="O46" s="53"/>
      <c r="P46" s="54"/>
    </row>
    <row r="47" spans="1:19" ht="17.25" customHeight="1" x14ac:dyDescent="0.25">
      <c r="B47" s="52" t="s">
        <v>31</v>
      </c>
      <c r="C47" s="47">
        <v>180</v>
      </c>
      <c r="D47" s="31">
        <f>+C47/$O$41*100000</f>
        <v>38.956316983222813</v>
      </c>
      <c r="E47" s="32">
        <v>113</v>
      </c>
      <c r="F47" s="31">
        <f>+E47/$P$41*100000</f>
        <v>48.693463872035295</v>
      </c>
      <c r="G47" s="32">
        <v>67</v>
      </c>
      <c r="H47" s="49">
        <f>+G47/$Q$41*100000</f>
        <v>29.13144805036697</v>
      </c>
      <c r="I47" s="67" t="s">
        <v>12</v>
      </c>
      <c r="J47" s="31" t="s">
        <v>12</v>
      </c>
      <c r="K47" s="32" t="s">
        <v>12</v>
      </c>
      <c r="L47" s="31" t="s">
        <v>12</v>
      </c>
      <c r="M47" s="32" t="s">
        <v>12</v>
      </c>
      <c r="N47" s="33" t="s">
        <v>12</v>
      </c>
      <c r="O47" s="53"/>
      <c r="P47" s="54"/>
    </row>
    <row r="48" spans="1:19" ht="17.25" customHeight="1" thickBot="1" x14ac:dyDescent="0.3">
      <c r="A48" s="74"/>
      <c r="B48" s="75" t="s">
        <v>44</v>
      </c>
      <c r="C48" s="76">
        <f>C41-1243</f>
        <v>1304</v>
      </c>
      <c r="D48" s="77">
        <f t="shared" si="21"/>
        <v>282.21687414512525</v>
      </c>
      <c r="E48" s="78">
        <f>E41-707</f>
        <v>802</v>
      </c>
      <c r="F48" s="77">
        <f t="shared" si="22"/>
        <v>345.59431880860456</v>
      </c>
      <c r="G48" s="78">
        <f>G41-536</f>
        <v>502</v>
      </c>
      <c r="H48" s="79">
        <f t="shared" si="23"/>
        <v>218.26846151170474</v>
      </c>
      <c r="I48" s="80">
        <f>I41-1641</f>
        <v>1397</v>
      </c>
      <c r="J48" s="77">
        <f>I48/$S$42*100000</f>
        <v>300.72889623669107</v>
      </c>
      <c r="K48" s="81">
        <f>K41-926</f>
        <v>889</v>
      </c>
      <c r="L48" s="77">
        <f>K48/$S$43*100000</f>
        <v>381.23418671469619</v>
      </c>
      <c r="M48" s="81">
        <f>M41-715</f>
        <v>508</v>
      </c>
      <c r="N48" s="82">
        <f>M48/$S$44*100000</f>
        <v>219.58262012206717</v>
      </c>
      <c r="O48" s="53"/>
      <c r="P48" s="54"/>
    </row>
    <row r="49" spans="1:19" ht="17.25" customHeight="1" thickTop="1" x14ac:dyDescent="0.25">
      <c r="A49" s="83" t="s">
        <v>0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4"/>
      <c r="P49" s="84"/>
      <c r="Q49" s="85"/>
    </row>
    <row r="50" spans="1:19" ht="17.25" customHeight="1" x14ac:dyDescent="0.25">
      <c r="A50" s="86" t="s">
        <v>1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4"/>
      <c r="P50" s="84"/>
      <c r="Q50" s="85"/>
    </row>
    <row r="51" spans="1:19" ht="17.25" customHeight="1" thickBot="1" x14ac:dyDescent="0.3">
      <c r="A51" s="4" t="s">
        <v>45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87"/>
      <c r="P51" s="87"/>
      <c r="Q51" s="88"/>
    </row>
    <row r="52" spans="1:19" ht="17.25" customHeight="1" thickTop="1" x14ac:dyDescent="0.25">
      <c r="A52" s="89" t="s">
        <v>2</v>
      </c>
      <c r="B52" s="90"/>
      <c r="C52" s="7">
        <v>2019</v>
      </c>
      <c r="D52" s="8"/>
      <c r="E52" s="8"/>
      <c r="F52" s="8"/>
      <c r="G52" s="8"/>
      <c r="H52" s="91"/>
      <c r="I52" s="10">
        <v>2020</v>
      </c>
      <c r="J52" s="11"/>
      <c r="K52" s="11"/>
      <c r="L52" s="11"/>
      <c r="M52" s="11"/>
      <c r="N52" s="11"/>
      <c r="O52" s="53"/>
      <c r="P52" s="54"/>
    </row>
    <row r="53" spans="1:19" ht="17.25" customHeight="1" x14ac:dyDescent="0.25">
      <c r="A53" s="92"/>
      <c r="B53" s="93"/>
      <c r="C53" s="94" t="s">
        <v>3</v>
      </c>
      <c r="D53" s="95"/>
      <c r="E53" s="16" t="s">
        <v>4</v>
      </c>
      <c r="F53" s="96"/>
      <c r="G53" s="96"/>
      <c r="H53" s="97"/>
      <c r="I53" s="13" t="s">
        <v>3</v>
      </c>
      <c r="J53" s="14"/>
      <c r="K53" s="15" t="s">
        <v>4</v>
      </c>
      <c r="L53" s="15"/>
      <c r="M53" s="15"/>
      <c r="N53" s="16"/>
      <c r="O53" s="53"/>
      <c r="P53" s="54"/>
    </row>
    <row r="54" spans="1:19" ht="17.25" customHeight="1" x14ac:dyDescent="0.25">
      <c r="A54" s="92"/>
      <c r="B54" s="93"/>
      <c r="C54" s="98"/>
      <c r="D54" s="99"/>
      <c r="E54" s="16" t="s">
        <v>5</v>
      </c>
      <c r="F54" s="100"/>
      <c r="G54" s="16" t="s">
        <v>6</v>
      </c>
      <c r="H54" s="97"/>
      <c r="I54" s="17"/>
      <c r="J54" s="18"/>
      <c r="K54" s="15" t="s">
        <v>5</v>
      </c>
      <c r="L54" s="15"/>
      <c r="M54" s="15" t="s">
        <v>6</v>
      </c>
      <c r="N54" s="16"/>
      <c r="O54" s="53"/>
      <c r="P54" s="54"/>
    </row>
    <row r="55" spans="1:19" ht="17.25" customHeight="1" thickBot="1" x14ac:dyDescent="0.3">
      <c r="A55" s="101"/>
      <c r="B55" s="102"/>
      <c r="C55" s="20" t="s">
        <v>7</v>
      </c>
      <c r="D55" s="21" t="s">
        <v>8</v>
      </c>
      <c r="E55" s="21" t="s">
        <v>7</v>
      </c>
      <c r="F55" s="21" t="s">
        <v>8</v>
      </c>
      <c r="G55" s="21" t="s">
        <v>7</v>
      </c>
      <c r="H55" s="103" t="s">
        <v>8</v>
      </c>
      <c r="I55" s="20" t="s">
        <v>7</v>
      </c>
      <c r="J55" s="23" t="s">
        <v>8</v>
      </c>
      <c r="K55" s="21" t="s">
        <v>7</v>
      </c>
      <c r="L55" s="23" t="s">
        <v>8</v>
      </c>
      <c r="M55" s="21" t="s">
        <v>7</v>
      </c>
      <c r="N55" s="24" t="s">
        <v>8</v>
      </c>
      <c r="O55" s="53"/>
      <c r="P55" s="54"/>
    </row>
    <row r="56" spans="1:19" s="35" customFormat="1" ht="17.25" customHeight="1" thickTop="1" x14ac:dyDescent="0.2">
      <c r="B56" s="104" t="s">
        <v>46</v>
      </c>
      <c r="C56" s="105">
        <v>201</v>
      </c>
      <c r="D56" s="106">
        <f>+C56/$O$59*100000</f>
        <v>351.74912062719847</v>
      </c>
      <c r="E56" s="107">
        <v>127</v>
      </c>
      <c r="F56" s="106">
        <f>+E56/$P$59*100000</f>
        <v>413.15592569699731</v>
      </c>
      <c r="G56" s="107">
        <v>74</v>
      </c>
      <c r="H56" s="108">
        <f>+G56/$Q$59*100000</f>
        <v>280.26056658082109</v>
      </c>
      <c r="I56" s="41">
        <v>233</v>
      </c>
      <c r="J56" s="38">
        <f>I56/$S$58*100000</f>
        <v>750.57178752053608</v>
      </c>
      <c r="K56" s="42">
        <v>156</v>
      </c>
      <c r="L56" s="38">
        <f>K56/$S$59*100000</f>
        <v>269.81216922065795</v>
      </c>
      <c r="M56" s="42">
        <v>77</v>
      </c>
      <c r="N56" s="43">
        <f>M56/$S$60*100000</f>
        <v>287.58169934640523</v>
      </c>
      <c r="O56" s="55"/>
      <c r="P56" s="56"/>
      <c r="Q56" s="46"/>
    </row>
    <row r="57" spans="1:19" ht="17.25" customHeight="1" x14ac:dyDescent="0.25">
      <c r="B57" s="109" t="s">
        <v>11</v>
      </c>
      <c r="C57" s="69" t="s">
        <v>12</v>
      </c>
      <c r="D57" s="70" t="s">
        <v>12</v>
      </c>
      <c r="E57" s="71" t="s">
        <v>12</v>
      </c>
      <c r="F57" s="70" t="s">
        <v>12</v>
      </c>
      <c r="G57" s="71" t="s">
        <v>12</v>
      </c>
      <c r="H57" s="72" t="s">
        <v>12</v>
      </c>
      <c r="I57" s="30">
        <v>66</v>
      </c>
      <c r="J57" s="31">
        <f t="shared" ref="J57:J64" si="24">I57/$S$58*100000</f>
        <v>212.60831749508745</v>
      </c>
      <c r="K57" s="32">
        <v>45</v>
      </c>
      <c r="L57" s="31">
        <f t="shared" ref="L57:L64" si="25">K57/$S$59*100000</f>
        <v>77.830433429035949</v>
      </c>
      <c r="M57" s="32">
        <v>21</v>
      </c>
      <c r="N57" s="33">
        <f t="shared" ref="N57:N64" si="26">M57/$S$60*100000</f>
        <v>78.431372549019599</v>
      </c>
      <c r="O57" s="53"/>
      <c r="P57" s="54"/>
    </row>
    <row r="58" spans="1:19" ht="17.25" customHeight="1" x14ac:dyDescent="0.25">
      <c r="B58" s="2" t="s">
        <v>47</v>
      </c>
      <c r="C58" s="30">
        <v>22</v>
      </c>
      <c r="D58" s="70">
        <f>+C58/$O$59*100000</f>
        <v>38.499903750240627</v>
      </c>
      <c r="E58" s="71">
        <v>13</v>
      </c>
      <c r="F58" s="70">
        <f>+E58/$P$59*100000</f>
        <v>42.291551449298936</v>
      </c>
      <c r="G58" s="71">
        <v>9</v>
      </c>
      <c r="H58" s="72">
        <f>+G58/$Q$59*100000</f>
        <v>34.085744584153915</v>
      </c>
      <c r="I58" s="30">
        <v>23</v>
      </c>
      <c r="J58" s="31">
        <f t="shared" si="24"/>
        <v>74.090777308894118</v>
      </c>
      <c r="K58" s="32">
        <v>17</v>
      </c>
      <c r="L58" s="31">
        <f t="shared" si="25"/>
        <v>29.402608184302469</v>
      </c>
      <c r="M58" s="32">
        <v>6</v>
      </c>
      <c r="N58" s="33">
        <f t="shared" si="26"/>
        <v>22.408963585434176</v>
      </c>
      <c r="O58" s="53"/>
      <c r="P58" s="54"/>
      <c r="S58" s="2">
        <v>31043</v>
      </c>
    </row>
    <row r="59" spans="1:19" ht="17.25" customHeight="1" x14ac:dyDescent="0.25">
      <c r="B59" s="2" t="s">
        <v>48</v>
      </c>
      <c r="C59" s="30">
        <v>25</v>
      </c>
      <c r="D59" s="70">
        <f>+C59/$O$59*100000</f>
        <v>43.749890625273437</v>
      </c>
      <c r="E59" s="71">
        <v>23</v>
      </c>
      <c r="F59" s="70">
        <f>+E59/$P$59*100000</f>
        <v>74.823514102605813</v>
      </c>
      <c r="G59" s="71">
        <v>2</v>
      </c>
      <c r="H59" s="72">
        <f>+G59/$Q$59*100000</f>
        <v>7.5746099075897595</v>
      </c>
      <c r="I59" s="30">
        <v>18</v>
      </c>
      <c r="J59" s="31">
        <f t="shared" si="24"/>
        <v>57.984086589569316</v>
      </c>
      <c r="K59" s="32">
        <v>16</v>
      </c>
      <c r="L59" s="31">
        <f t="shared" si="25"/>
        <v>27.67304299699056</v>
      </c>
      <c r="M59" s="32">
        <v>2</v>
      </c>
      <c r="N59" s="33">
        <f t="shared" si="26"/>
        <v>7.469654528478058</v>
      </c>
      <c r="O59" s="58">
        <v>57143</v>
      </c>
      <c r="P59" s="59">
        <v>30739</v>
      </c>
      <c r="Q59" s="3">
        <v>26404</v>
      </c>
      <c r="R59" s="2" t="s">
        <v>49</v>
      </c>
      <c r="S59" s="2">
        <v>57818</v>
      </c>
    </row>
    <row r="60" spans="1:19" ht="17.25" customHeight="1" x14ac:dyDescent="0.25">
      <c r="B60" s="2" t="s">
        <v>50</v>
      </c>
      <c r="C60" s="30">
        <v>16</v>
      </c>
      <c r="D60" s="70">
        <f>+C60/$O$59*100000</f>
        <v>27.999930000175002</v>
      </c>
      <c r="E60" s="71">
        <v>11</v>
      </c>
      <c r="F60" s="70">
        <f>+E60/$P$59*100000</f>
        <v>35.785158918637556</v>
      </c>
      <c r="G60" s="71">
        <v>5</v>
      </c>
      <c r="H60" s="72">
        <f>+G60/$Q$59*100000</f>
        <v>18.936524768974397</v>
      </c>
      <c r="I60" s="30">
        <v>13</v>
      </c>
      <c r="J60" s="31">
        <f t="shared" si="24"/>
        <v>41.877395870244499</v>
      </c>
      <c r="K60" s="32">
        <v>7</v>
      </c>
      <c r="L60" s="31">
        <f t="shared" si="25"/>
        <v>12.106956311183367</v>
      </c>
      <c r="M60" s="32">
        <v>6</v>
      </c>
      <c r="N60" s="33">
        <f t="shared" si="26"/>
        <v>22.408963585434176</v>
      </c>
      <c r="O60" s="53"/>
      <c r="P60" s="54"/>
      <c r="S60" s="2">
        <v>26775</v>
      </c>
    </row>
    <row r="61" spans="1:19" ht="17.25" customHeight="1" x14ac:dyDescent="0.25">
      <c r="B61" s="68" t="s">
        <v>43</v>
      </c>
      <c r="C61" s="30" t="s">
        <v>12</v>
      </c>
      <c r="D61" s="70" t="s">
        <v>12</v>
      </c>
      <c r="E61" s="71" t="s">
        <v>12</v>
      </c>
      <c r="F61" s="70" t="s">
        <v>12</v>
      </c>
      <c r="G61" s="71" t="s">
        <v>12</v>
      </c>
      <c r="H61" s="72" t="s">
        <v>12</v>
      </c>
      <c r="I61" s="30">
        <v>12</v>
      </c>
      <c r="J61" s="31">
        <f t="shared" si="24"/>
        <v>38.656057726379537</v>
      </c>
      <c r="K61" s="32">
        <v>8</v>
      </c>
      <c r="L61" s="31">
        <f t="shared" si="25"/>
        <v>13.83652149849528</v>
      </c>
      <c r="M61" s="32">
        <v>4</v>
      </c>
      <c r="N61" s="33">
        <f t="shared" si="26"/>
        <v>14.939309056956116</v>
      </c>
      <c r="O61" s="53"/>
      <c r="P61" s="54"/>
    </row>
    <row r="62" spans="1:19" ht="17.25" customHeight="1" x14ac:dyDescent="0.25">
      <c r="B62" s="65" t="s">
        <v>32</v>
      </c>
      <c r="C62" s="30">
        <v>16</v>
      </c>
      <c r="D62" s="70">
        <f>+C62/$O$59*100000</f>
        <v>27.999930000175002</v>
      </c>
      <c r="E62" s="71">
        <v>6</v>
      </c>
      <c r="F62" s="70">
        <f>+E62/$P$59*100000</f>
        <v>19.519177591984125</v>
      </c>
      <c r="G62" s="71">
        <v>10</v>
      </c>
      <c r="H62" s="72">
        <f>+G62/$Q$59*100000</f>
        <v>37.873049537948795</v>
      </c>
      <c r="I62" s="30" t="s">
        <v>12</v>
      </c>
      <c r="J62" s="32" t="s">
        <v>12</v>
      </c>
      <c r="K62" s="32" t="s">
        <v>12</v>
      </c>
      <c r="L62" s="32" t="s">
        <v>12</v>
      </c>
      <c r="M62" s="32" t="s">
        <v>12</v>
      </c>
      <c r="N62" s="33" t="s">
        <v>12</v>
      </c>
      <c r="O62" s="53"/>
      <c r="P62" s="54"/>
    </row>
    <row r="63" spans="1:19" ht="17.25" customHeight="1" x14ac:dyDescent="0.25">
      <c r="B63" s="2" t="s">
        <v>51</v>
      </c>
      <c r="C63" s="30">
        <v>14</v>
      </c>
      <c r="D63" s="70">
        <f>+C63/$O$59*100000</f>
        <v>24.499938750153127</v>
      </c>
      <c r="E63" s="71">
        <v>10</v>
      </c>
      <c r="F63" s="70">
        <f>+E63/$P$59*100000</f>
        <v>32.53196265330687</v>
      </c>
      <c r="G63" s="71">
        <v>4</v>
      </c>
      <c r="H63" s="72">
        <f>+G63/$Q$59*100000</f>
        <v>15.149219815179519</v>
      </c>
      <c r="I63" s="30" t="s">
        <v>12</v>
      </c>
      <c r="J63" s="32" t="s">
        <v>12</v>
      </c>
      <c r="K63" s="32" t="s">
        <v>12</v>
      </c>
      <c r="L63" s="32" t="s">
        <v>12</v>
      </c>
      <c r="M63" s="32" t="s">
        <v>12</v>
      </c>
      <c r="N63" s="33" t="s">
        <v>12</v>
      </c>
      <c r="O63" s="53"/>
      <c r="P63" s="54"/>
    </row>
    <row r="64" spans="1:19" ht="17.25" customHeight="1" x14ac:dyDescent="0.25">
      <c r="B64" s="68" t="s">
        <v>52</v>
      </c>
      <c r="C64" s="30">
        <v>108</v>
      </c>
      <c r="D64" s="70">
        <f>+C64/$O$59*100000</f>
        <v>188.99952750118123</v>
      </c>
      <c r="E64" s="71">
        <v>64</v>
      </c>
      <c r="F64" s="70">
        <f>+E64/$P$59*100000</f>
        <v>208.20456098116398</v>
      </c>
      <c r="G64" s="71">
        <v>44</v>
      </c>
      <c r="H64" s="72">
        <f>+G64/$Q$59*100000</f>
        <v>166.6414179669747</v>
      </c>
      <c r="I64" s="30">
        <v>101</v>
      </c>
      <c r="J64" s="31">
        <f t="shared" si="24"/>
        <v>325.35515253036112</v>
      </c>
      <c r="K64" s="32">
        <v>63</v>
      </c>
      <c r="L64" s="31">
        <f t="shared" si="25"/>
        <v>108.96260680065032</v>
      </c>
      <c r="M64" s="32">
        <v>38</v>
      </c>
      <c r="N64" s="33">
        <f t="shared" si="26"/>
        <v>141.92343604108311</v>
      </c>
      <c r="O64" s="53"/>
      <c r="P64" s="54"/>
    </row>
    <row r="65" spans="2:19" s="35" customFormat="1" ht="17.25" customHeight="1" x14ac:dyDescent="0.2">
      <c r="B65" s="104" t="s">
        <v>53</v>
      </c>
      <c r="C65" s="105">
        <v>766</v>
      </c>
      <c r="D65" s="106">
        <f t="shared" ref="D65:D71" si="27">+C65/$O$69*100000</f>
        <v>644.42855340091705</v>
      </c>
      <c r="E65" s="107">
        <v>446</v>
      </c>
      <c r="F65" s="106">
        <f t="shared" ref="F65:F71" si="28">+E65/$P$69*100000</f>
        <v>746.11884368308347</v>
      </c>
      <c r="G65" s="107">
        <v>320</v>
      </c>
      <c r="H65" s="108">
        <f t="shared" ref="H65:H71" si="29">+G65/$Q$69*100000</f>
        <v>541.55595796171883</v>
      </c>
      <c r="I65" s="41">
        <v>824</v>
      </c>
      <c r="J65" s="38">
        <f>I65/$S$66*100000</f>
        <v>692.54172900102537</v>
      </c>
      <c r="K65" s="42">
        <v>456</v>
      </c>
      <c r="L65" s="38">
        <f>K65/$S$67*100000</f>
        <v>761.51032881882406</v>
      </c>
      <c r="M65" s="42">
        <v>368</v>
      </c>
      <c r="N65" s="43">
        <f t="shared" ref="N65:N71" si="30">M65/$S$69*100000</f>
        <v>622.66289910492208</v>
      </c>
      <c r="O65" s="55"/>
      <c r="P65" s="56"/>
      <c r="Q65" s="46"/>
    </row>
    <row r="66" spans="2:19" ht="17.25" customHeight="1" x14ac:dyDescent="0.25">
      <c r="B66" s="68" t="s">
        <v>54</v>
      </c>
      <c r="C66" s="69">
        <v>130</v>
      </c>
      <c r="D66" s="70">
        <f t="shared" si="27"/>
        <v>109.36777015942455</v>
      </c>
      <c r="E66" s="71">
        <v>70</v>
      </c>
      <c r="F66" s="70">
        <f t="shared" si="28"/>
        <v>117.10385438972162</v>
      </c>
      <c r="G66" s="71">
        <v>60</v>
      </c>
      <c r="H66" s="72">
        <f t="shared" si="29"/>
        <v>101.54174211782227</v>
      </c>
      <c r="I66" s="30">
        <v>168</v>
      </c>
      <c r="J66" s="31">
        <f t="shared" ref="J66:J71" si="31">I66/$S$66*100000</f>
        <v>141.1978282429275</v>
      </c>
      <c r="K66" s="32">
        <v>92</v>
      </c>
      <c r="L66" s="31">
        <f t="shared" ref="L66:L71" si="32">K66/$S$67*100000</f>
        <v>153.63804879678028</v>
      </c>
      <c r="M66" s="32">
        <v>76</v>
      </c>
      <c r="N66" s="33">
        <f t="shared" si="30"/>
        <v>128.59342481514696</v>
      </c>
      <c r="O66" s="53"/>
      <c r="P66" s="54"/>
      <c r="R66" s="2" t="s">
        <v>55</v>
      </c>
      <c r="S66" s="2">
        <v>118982</v>
      </c>
    </row>
    <row r="67" spans="2:19" ht="17.25" customHeight="1" x14ac:dyDescent="0.25">
      <c r="B67" s="68" t="s">
        <v>56</v>
      </c>
      <c r="C67" s="69">
        <v>93</v>
      </c>
      <c r="D67" s="70">
        <f t="shared" si="27"/>
        <v>78.240020190972956</v>
      </c>
      <c r="E67" s="71">
        <v>62</v>
      </c>
      <c r="F67" s="70">
        <f t="shared" si="28"/>
        <v>103.72055674518201</v>
      </c>
      <c r="G67" s="71">
        <v>31</v>
      </c>
      <c r="H67" s="72">
        <f t="shared" si="29"/>
        <v>52.46323342754151</v>
      </c>
      <c r="I67" s="30">
        <v>90</v>
      </c>
      <c r="J67" s="31">
        <f t="shared" si="31"/>
        <v>75.6416937015683</v>
      </c>
      <c r="K67" s="32">
        <v>49</v>
      </c>
      <c r="L67" s="31">
        <f t="shared" si="32"/>
        <v>81.828960772198187</v>
      </c>
      <c r="M67" s="32">
        <v>41</v>
      </c>
      <c r="N67" s="33">
        <f t="shared" si="30"/>
        <v>69.37276865027664</v>
      </c>
      <c r="O67" s="53"/>
      <c r="P67" s="54"/>
      <c r="S67" s="2">
        <v>59881</v>
      </c>
    </row>
    <row r="68" spans="2:19" ht="17.25" customHeight="1" x14ac:dyDescent="0.25">
      <c r="B68" s="65" t="s">
        <v>32</v>
      </c>
      <c r="C68" s="69">
        <v>82</v>
      </c>
      <c r="D68" s="70">
        <f t="shared" si="27"/>
        <v>68.985824254406268</v>
      </c>
      <c r="E68" s="71">
        <v>44</v>
      </c>
      <c r="F68" s="70">
        <f t="shared" si="28"/>
        <v>73.608137044967876</v>
      </c>
      <c r="G68" s="71">
        <v>38</v>
      </c>
      <c r="H68" s="72">
        <f t="shared" si="29"/>
        <v>64.3097700079541</v>
      </c>
      <c r="I68" s="30">
        <v>78</v>
      </c>
      <c r="J68" s="31">
        <f t="shared" si="31"/>
        <v>65.556134541359199</v>
      </c>
      <c r="K68" s="32">
        <v>41</v>
      </c>
      <c r="L68" s="31">
        <f t="shared" si="32"/>
        <v>68.46913044204338</v>
      </c>
      <c r="M68" s="32">
        <v>37</v>
      </c>
      <c r="N68" s="33">
        <f t="shared" si="30"/>
        <v>62.604693660005751</v>
      </c>
      <c r="O68" s="53"/>
      <c r="P68" s="54"/>
    </row>
    <row r="69" spans="2:19" ht="17.25" customHeight="1" x14ac:dyDescent="0.25">
      <c r="B69" s="2" t="s">
        <v>57</v>
      </c>
      <c r="C69" s="69">
        <v>53</v>
      </c>
      <c r="D69" s="70">
        <f t="shared" si="27"/>
        <v>44.588398603457705</v>
      </c>
      <c r="E69" s="71">
        <v>21</v>
      </c>
      <c r="F69" s="70">
        <f t="shared" si="28"/>
        <v>35.131156316916488</v>
      </c>
      <c r="G69" s="71">
        <v>32</v>
      </c>
      <c r="H69" s="72">
        <f t="shared" si="29"/>
        <v>54.155595796171873</v>
      </c>
      <c r="I69" s="30">
        <v>75</v>
      </c>
      <c r="J69" s="31">
        <f t="shared" si="31"/>
        <v>63.034744751306917</v>
      </c>
      <c r="K69" s="32">
        <v>35</v>
      </c>
      <c r="L69" s="31">
        <f t="shared" si="32"/>
        <v>58.449257694427281</v>
      </c>
      <c r="M69" s="32">
        <v>40</v>
      </c>
      <c r="N69" s="33">
        <f t="shared" si="30"/>
        <v>67.680749902708925</v>
      </c>
      <c r="O69" s="58">
        <v>118865</v>
      </c>
      <c r="P69" s="59">
        <v>59776</v>
      </c>
      <c r="Q69" s="3">
        <v>59089</v>
      </c>
      <c r="S69" s="2">
        <v>59101</v>
      </c>
    </row>
    <row r="70" spans="2:19" ht="17.25" customHeight="1" x14ac:dyDescent="0.25">
      <c r="B70" s="68" t="s">
        <v>58</v>
      </c>
      <c r="C70" s="69">
        <v>50</v>
      </c>
      <c r="D70" s="70">
        <f t="shared" si="27"/>
        <v>42.064526984394064</v>
      </c>
      <c r="E70" s="71">
        <v>26</v>
      </c>
      <c r="F70" s="70">
        <f t="shared" si="28"/>
        <v>43.495717344753743</v>
      </c>
      <c r="G70" s="71">
        <v>24</v>
      </c>
      <c r="H70" s="72">
        <f t="shared" si="29"/>
        <v>40.616696847128907</v>
      </c>
      <c r="I70" s="30">
        <v>57</v>
      </c>
      <c r="J70" s="31">
        <f>I70/$S$66*100000</f>
        <v>47.906406010993265</v>
      </c>
      <c r="K70" s="32">
        <v>36</v>
      </c>
      <c r="L70" s="31">
        <f t="shared" si="32"/>
        <v>60.119236485696632</v>
      </c>
      <c r="M70" s="32">
        <v>21</v>
      </c>
      <c r="N70" s="33">
        <f t="shared" si="30"/>
        <v>35.532393698922185</v>
      </c>
      <c r="O70" s="53"/>
      <c r="P70" s="54"/>
    </row>
    <row r="71" spans="2:19" ht="17.25" customHeight="1" x14ac:dyDescent="0.25">
      <c r="B71" s="68" t="s">
        <v>59</v>
      </c>
      <c r="C71" s="69">
        <v>405</v>
      </c>
      <c r="D71" s="70">
        <f t="shared" si="27"/>
        <v>340.72266857359187</v>
      </c>
      <c r="E71" s="71">
        <v>234</v>
      </c>
      <c r="F71" s="70">
        <f t="shared" si="28"/>
        <v>391.46145610278376</v>
      </c>
      <c r="G71" s="71">
        <v>171</v>
      </c>
      <c r="H71" s="72">
        <f t="shared" si="29"/>
        <v>289.39396503579343</v>
      </c>
      <c r="I71" s="30">
        <v>383</v>
      </c>
      <c r="J71" s="31">
        <f t="shared" si="31"/>
        <v>321.89742986334068</v>
      </c>
      <c r="K71" s="32">
        <v>213</v>
      </c>
      <c r="L71" s="31">
        <f t="shared" si="32"/>
        <v>355.70548254037175</v>
      </c>
      <c r="M71" s="32">
        <v>170</v>
      </c>
      <c r="N71" s="33">
        <f t="shared" si="30"/>
        <v>287.64318708651291</v>
      </c>
      <c r="O71" s="53"/>
      <c r="P71" s="54"/>
    </row>
    <row r="72" spans="2:19" s="35" customFormat="1" ht="17.25" customHeight="1" x14ac:dyDescent="0.2">
      <c r="B72" s="104" t="s">
        <v>60</v>
      </c>
      <c r="C72" s="105">
        <v>713</v>
      </c>
      <c r="D72" s="106">
        <f t="shared" ref="D72:D78" si="33">+C72/$O$76*100000</f>
        <v>746.28427883608958</v>
      </c>
      <c r="E72" s="107">
        <v>412</v>
      </c>
      <c r="F72" s="106">
        <f t="shared" ref="F72:F78" si="34">+E72/$P$76*100000</f>
        <v>859.74833580267523</v>
      </c>
      <c r="G72" s="107">
        <v>301</v>
      </c>
      <c r="H72" s="108">
        <f t="shared" ref="H72:H78" si="35">+G72/$Q$76*100000</f>
        <v>632.10063210063208</v>
      </c>
      <c r="I72" s="41">
        <v>736</v>
      </c>
      <c r="J72" s="38">
        <f>I72/$S$74*100000</f>
        <v>770.22091526523434</v>
      </c>
      <c r="K72" s="42">
        <v>448</v>
      </c>
      <c r="L72" s="38">
        <f>K72/$S$76*100000</f>
        <v>935.4771351012738</v>
      </c>
      <c r="M72" s="42">
        <v>288</v>
      </c>
      <c r="N72" s="43">
        <f>M72/$S$77*100000</f>
        <v>604.19157907986653</v>
      </c>
      <c r="O72" s="55"/>
      <c r="P72" s="56"/>
      <c r="Q72" s="46"/>
    </row>
    <row r="73" spans="2:19" ht="17.25" customHeight="1" x14ac:dyDescent="0.25">
      <c r="B73" s="68" t="s">
        <v>47</v>
      </c>
      <c r="C73" s="69">
        <v>122</v>
      </c>
      <c r="D73" s="70">
        <f t="shared" si="33"/>
        <v>127.69520619635753</v>
      </c>
      <c r="E73" s="71">
        <v>68</v>
      </c>
      <c r="F73" s="70">
        <f t="shared" si="34"/>
        <v>141.90021076354833</v>
      </c>
      <c r="G73" s="71">
        <v>54</v>
      </c>
      <c r="H73" s="72">
        <f t="shared" si="35"/>
        <v>113.4001134001134</v>
      </c>
      <c r="I73" s="30">
        <v>139</v>
      </c>
      <c r="J73" s="31">
        <f t="shared" ref="J73:J78" si="36">I73/$S$74*100000</f>
        <v>145.46291742101573</v>
      </c>
      <c r="K73" s="32">
        <v>85</v>
      </c>
      <c r="L73" s="31">
        <f t="shared" ref="L73:L78" si="37">K73/$S$76*100000</f>
        <v>177.49008143662559</v>
      </c>
      <c r="M73" s="32">
        <v>54</v>
      </c>
      <c r="N73" s="33">
        <f t="shared" ref="N73:N78" si="38">M73/$S$77*100000</f>
        <v>113.28592107747498</v>
      </c>
      <c r="O73" s="53"/>
      <c r="P73" s="54"/>
    </row>
    <row r="74" spans="2:19" ht="17.25" customHeight="1" x14ac:dyDescent="0.25">
      <c r="B74" s="68" t="s">
        <v>51</v>
      </c>
      <c r="C74" s="69">
        <v>76</v>
      </c>
      <c r="D74" s="70">
        <f t="shared" si="33"/>
        <v>79.547833368222726</v>
      </c>
      <c r="E74" s="71">
        <v>39</v>
      </c>
      <c r="F74" s="70">
        <f t="shared" si="34"/>
        <v>81.383944408505656</v>
      </c>
      <c r="G74" s="71">
        <v>37</v>
      </c>
      <c r="H74" s="72">
        <f t="shared" si="35"/>
        <v>77.700077700077699</v>
      </c>
      <c r="I74" s="30">
        <v>80</v>
      </c>
      <c r="J74" s="31">
        <f t="shared" si="36"/>
        <v>83.719664702742861</v>
      </c>
      <c r="K74" s="32">
        <v>45</v>
      </c>
      <c r="L74" s="31">
        <f t="shared" si="37"/>
        <v>93.965337231154734</v>
      </c>
      <c r="M74" s="32">
        <v>35</v>
      </c>
      <c r="N74" s="33">
        <f t="shared" si="38"/>
        <v>73.42605995762267</v>
      </c>
      <c r="O74" s="53"/>
      <c r="P74" s="54"/>
      <c r="R74" s="2" t="s">
        <v>61</v>
      </c>
      <c r="S74" s="2">
        <v>95557</v>
      </c>
    </row>
    <row r="75" spans="2:19" ht="17.25" customHeight="1" x14ac:dyDescent="0.25">
      <c r="B75" s="65" t="s">
        <v>32</v>
      </c>
      <c r="C75" s="69">
        <v>74</v>
      </c>
      <c r="D75" s="70">
        <f t="shared" si="33"/>
        <v>77.454469332216874</v>
      </c>
      <c r="E75" s="71">
        <v>42</v>
      </c>
      <c r="F75" s="70">
        <f t="shared" si="34"/>
        <v>87.644247824544564</v>
      </c>
      <c r="G75" s="71">
        <v>32</v>
      </c>
      <c r="H75" s="72">
        <f t="shared" si="35"/>
        <v>67.200067200067195</v>
      </c>
      <c r="I75" s="30">
        <v>79</v>
      </c>
      <c r="J75" s="31">
        <f t="shared" si="36"/>
        <v>82.673168893958575</v>
      </c>
      <c r="K75" s="32">
        <v>46</v>
      </c>
      <c r="L75" s="31">
        <f t="shared" si="37"/>
        <v>96.053455836291505</v>
      </c>
      <c r="M75" s="32">
        <v>33</v>
      </c>
      <c r="N75" s="33">
        <f t="shared" si="38"/>
        <v>69.230285102901377</v>
      </c>
      <c r="O75" s="53"/>
      <c r="P75" s="54"/>
    </row>
    <row r="76" spans="2:19" ht="17.25" customHeight="1" x14ac:dyDescent="0.25">
      <c r="B76" s="68" t="s">
        <v>50</v>
      </c>
      <c r="C76" s="69">
        <v>74</v>
      </c>
      <c r="D76" s="70">
        <f t="shared" si="33"/>
        <v>77.454469332216874</v>
      </c>
      <c r="E76" s="71">
        <v>41</v>
      </c>
      <c r="F76" s="70">
        <f t="shared" si="34"/>
        <v>85.557480019198266</v>
      </c>
      <c r="G76" s="71">
        <v>33</v>
      </c>
      <c r="H76" s="72">
        <f t="shared" si="35"/>
        <v>69.300069300069296</v>
      </c>
      <c r="I76" s="30">
        <v>68</v>
      </c>
      <c r="J76" s="31">
        <f t="shared" si="36"/>
        <v>71.16171499733143</v>
      </c>
      <c r="K76" s="32">
        <v>50</v>
      </c>
      <c r="L76" s="31">
        <f t="shared" si="37"/>
        <v>104.40593025683859</v>
      </c>
      <c r="M76" s="32">
        <v>18</v>
      </c>
      <c r="N76" s="33">
        <f t="shared" si="38"/>
        <v>37.761973692491658</v>
      </c>
      <c r="O76" s="58">
        <v>95540</v>
      </c>
      <c r="P76" s="59">
        <v>47921</v>
      </c>
      <c r="Q76" s="3">
        <v>47619</v>
      </c>
      <c r="S76" s="2">
        <v>47890</v>
      </c>
    </row>
    <row r="77" spans="2:19" ht="17.25" customHeight="1" x14ac:dyDescent="0.25">
      <c r="B77" s="68" t="s">
        <v>57</v>
      </c>
      <c r="C77" s="69">
        <v>38</v>
      </c>
      <c r="D77" s="70">
        <f t="shared" si="33"/>
        <v>39.773916684111363</v>
      </c>
      <c r="E77" s="71">
        <v>25</v>
      </c>
      <c r="F77" s="70">
        <f t="shared" si="34"/>
        <v>52.169195133657475</v>
      </c>
      <c r="G77" s="71">
        <v>13</v>
      </c>
      <c r="H77" s="72">
        <f t="shared" si="35"/>
        <v>27.300027300027303</v>
      </c>
      <c r="I77" s="30">
        <v>58</v>
      </c>
      <c r="J77" s="31">
        <f t="shared" si="36"/>
        <v>60.69675690948857</v>
      </c>
      <c r="K77" s="32">
        <v>32</v>
      </c>
      <c r="L77" s="31">
        <f t="shared" si="37"/>
        <v>66.819795364376702</v>
      </c>
      <c r="M77" s="32">
        <v>26</v>
      </c>
      <c r="N77" s="33">
        <f t="shared" si="38"/>
        <v>54.545073111376844</v>
      </c>
      <c r="O77" s="53"/>
      <c r="P77" s="54"/>
      <c r="S77" s="2">
        <v>47667</v>
      </c>
    </row>
    <row r="78" spans="2:19" ht="17.25" customHeight="1" x14ac:dyDescent="0.25">
      <c r="B78" s="68" t="s">
        <v>62</v>
      </c>
      <c r="C78" s="69">
        <f>C72-384</f>
        <v>329</v>
      </c>
      <c r="D78" s="70">
        <f t="shared" si="33"/>
        <v>344.35838392296421</v>
      </c>
      <c r="E78" s="71">
        <f>E72-215</f>
        <v>197</v>
      </c>
      <c r="F78" s="70">
        <f t="shared" si="34"/>
        <v>411.09325765322092</v>
      </c>
      <c r="G78" s="71">
        <f>G72-169</f>
        <v>132</v>
      </c>
      <c r="H78" s="72">
        <f t="shared" si="35"/>
        <v>277.20027720027718</v>
      </c>
      <c r="I78" s="30">
        <f>I72-424</f>
        <v>312</v>
      </c>
      <c r="J78" s="31">
        <f t="shared" si="36"/>
        <v>326.50669234069716</v>
      </c>
      <c r="K78" s="32">
        <f>K72-258</f>
        <v>190</v>
      </c>
      <c r="L78" s="31">
        <f t="shared" si="37"/>
        <v>396.74253497598664</v>
      </c>
      <c r="M78" s="32">
        <f>M72-166</f>
        <v>122</v>
      </c>
      <c r="N78" s="33">
        <f t="shared" si="38"/>
        <v>255.94226613799901</v>
      </c>
      <c r="O78" s="53"/>
      <c r="P78" s="54"/>
    </row>
    <row r="79" spans="2:19" s="35" customFormat="1" ht="17.25" customHeight="1" x14ac:dyDescent="0.2">
      <c r="B79" s="104" t="s">
        <v>63</v>
      </c>
      <c r="C79" s="105">
        <v>7336</v>
      </c>
      <c r="D79" s="106">
        <f>+C79/$O$82*100000</f>
        <v>451.06476124187913</v>
      </c>
      <c r="E79" s="107">
        <v>4048</v>
      </c>
      <c r="F79" s="106">
        <f>+E79/$P$82*100000</f>
        <v>50.355448763082094</v>
      </c>
      <c r="G79" s="107">
        <v>3288</v>
      </c>
      <c r="H79" s="108">
        <f t="shared" ref="H79" si="39">+G79/839210*100000</f>
        <v>391.79704722298351</v>
      </c>
      <c r="I79" s="41">
        <v>10275</v>
      </c>
      <c r="J79" s="38">
        <f>I79/$S$80*100000</f>
        <v>620.345147361405</v>
      </c>
      <c r="K79" s="42">
        <v>5880</v>
      </c>
      <c r="L79" s="38">
        <f>K79/$S$81*100000</f>
        <v>719.59526437783154</v>
      </c>
      <c r="M79" s="42">
        <v>4395</v>
      </c>
      <c r="N79" s="43">
        <f>M79/$S$82*100000</f>
        <v>523.70681950882374</v>
      </c>
      <c r="O79" s="55"/>
      <c r="P79" s="56"/>
      <c r="Q79" s="46"/>
    </row>
    <row r="80" spans="2:19" ht="17.25" customHeight="1" x14ac:dyDescent="0.25">
      <c r="B80" s="2" t="s">
        <v>11</v>
      </c>
      <c r="C80" s="30" t="s">
        <v>12</v>
      </c>
      <c r="D80" s="32" t="s">
        <v>12</v>
      </c>
      <c r="E80" s="32" t="s">
        <v>12</v>
      </c>
      <c r="F80" s="32" t="s">
        <v>12</v>
      </c>
      <c r="G80" s="32" t="s">
        <v>12</v>
      </c>
      <c r="H80" s="57" t="s">
        <v>12</v>
      </c>
      <c r="I80" s="30">
        <v>2606</v>
      </c>
      <c r="J80" s="31">
        <f t="shared" ref="J80:J86" si="40">I80/$S$80*100000</f>
        <v>157.33522666898503</v>
      </c>
      <c r="K80" s="32">
        <v>1634</v>
      </c>
      <c r="L80" s="31">
        <f t="shared" ref="L80:L86" si="41">K80/$S$81*100000</f>
        <v>199.96916020295527</v>
      </c>
      <c r="M80" s="32">
        <v>972</v>
      </c>
      <c r="N80" s="33">
        <f t="shared" ref="N80:N86" si="42">M80/$S$82*100000</f>
        <v>115.82321469000608</v>
      </c>
      <c r="O80" s="53"/>
      <c r="P80" s="54"/>
      <c r="R80" s="2" t="s">
        <v>64</v>
      </c>
      <c r="S80" s="2">
        <v>1656336</v>
      </c>
    </row>
    <row r="81" spans="1:19" ht="17.25" customHeight="1" x14ac:dyDescent="0.25">
      <c r="B81" s="68" t="s">
        <v>54</v>
      </c>
      <c r="C81" s="69">
        <v>1379</v>
      </c>
      <c r="D81" s="70">
        <f>+C81/$O$82*100000</f>
        <v>84.789845386116596</v>
      </c>
      <c r="E81" s="71">
        <v>693</v>
      </c>
      <c r="F81" s="70">
        <f>+E81/$P$82*100000</f>
        <v>8.6206338915059018</v>
      </c>
      <c r="G81" s="71">
        <v>686</v>
      </c>
      <c r="H81" s="72">
        <f t="shared" ref="H81:H86" si="43">+G81/839210*100000</f>
        <v>81.743544524016642</v>
      </c>
      <c r="I81" s="30">
        <v>1410</v>
      </c>
      <c r="J81" s="31">
        <f t="shared" si="40"/>
        <v>85.127655258353386</v>
      </c>
      <c r="K81" s="32">
        <v>711</v>
      </c>
      <c r="L81" s="31">
        <f t="shared" si="41"/>
        <v>87.012284519156168</v>
      </c>
      <c r="M81" s="32">
        <v>699</v>
      </c>
      <c r="N81" s="33">
        <f t="shared" si="42"/>
        <v>83.292620440652527</v>
      </c>
      <c r="O81" s="61"/>
      <c r="S81" s="2">
        <v>817126</v>
      </c>
    </row>
    <row r="82" spans="1:19" ht="17.25" customHeight="1" x14ac:dyDescent="0.25">
      <c r="B82" s="68" t="s">
        <v>58</v>
      </c>
      <c r="C82" s="69">
        <f>42+497+91+183</f>
        <v>813</v>
      </c>
      <c r="D82" s="70">
        <f>+C82/1656336*100000</f>
        <v>49.084243776625037</v>
      </c>
      <c r="E82" s="71">
        <f>21+283+58+93</f>
        <v>455</v>
      </c>
      <c r="F82" s="70">
        <f>+E82/817126*100000</f>
        <v>55.682966886379823</v>
      </c>
      <c r="G82" s="71">
        <f>21+214+33+90</f>
        <v>358</v>
      </c>
      <c r="H82" s="72">
        <f t="shared" si="43"/>
        <v>42.659167550434333</v>
      </c>
      <c r="I82" s="30">
        <v>918</v>
      </c>
      <c r="J82" s="31">
        <f t="shared" si="40"/>
        <v>55.423537253310919</v>
      </c>
      <c r="K82" s="32">
        <v>517</v>
      </c>
      <c r="L82" s="31">
        <f t="shared" si="41"/>
        <v>63.270536000567851</v>
      </c>
      <c r="M82" s="32">
        <v>401</v>
      </c>
      <c r="N82" s="33">
        <f t="shared" si="42"/>
        <v>47.783034043922257</v>
      </c>
      <c r="O82" s="58">
        <v>1626374</v>
      </c>
      <c r="P82" s="59">
        <v>8038852</v>
      </c>
      <c r="S82" s="2">
        <v>839210</v>
      </c>
    </row>
    <row r="83" spans="1:19" ht="17.25" customHeight="1" x14ac:dyDescent="0.25">
      <c r="B83" s="68" t="s">
        <v>65</v>
      </c>
      <c r="C83" s="69">
        <f>43+426+89+187</f>
        <v>745</v>
      </c>
      <c r="D83" s="70">
        <f>+C83/1656336*100000</f>
        <v>44.978796572676075</v>
      </c>
      <c r="E83" s="71">
        <f>34+199+49+94</f>
        <v>376</v>
      </c>
      <c r="F83" s="70">
        <f>+E83/817126*100000</f>
        <v>46.014935273140246</v>
      </c>
      <c r="G83" s="71">
        <f>9+227+40+93</f>
        <v>369</v>
      </c>
      <c r="H83" s="72">
        <f t="shared" si="43"/>
        <v>43.969924095280085</v>
      </c>
      <c r="I83" s="30">
        <v>735</v>
      </c>
      <c r="J83" s="31">
        <f t="shared" si="40"/>
        <v>44.375054336801227</v>
      </c>
      <c r="K83" s="32">
        <v>401</v>
      </c>
      <c r="L83" s="31">
        <f t="shared" si="41"/>
        <v>49.074438948216063</v>
      </c>
      <c r="M83" s="32">
        <v>334</v>
      </c>
      <c r="N83" s="33">
        <f t="shared" si="42"/>
        <v>39.799335088952702</v>
      </c>
      <c r="O83" s="53"/>
      <c r="P83" s="54"/>
    </row>
    <row r="84" spans="1:19" ht="17.25" customHeight="1" x14ac:dyDescent="0.25">
      <c r="B84" s="110" t="s">
        <v>66</v>
      </c>
      <c r="C84" s="111">
        <f>31+348+59+179</f>
        <v>617</v>
      </c>
      <c r="D84" s="70">
        <f>+C84/1656336*100000</f>
        <v>37.250895953478036</v>
      </c>
      <c r="E84" s="112">
        <f>15+168+29+93</f>
        <v>305</v>
      </c>
      <c r="F84" s="70">
        <f>+E84/817126*100000</f>
        <v>37.325944835924936</v>
      </c>
      <c r="G84" s="112">
        <f>16+180+30+86</f>
        <v>312</v>
      </c>
      <c r="H84" s="72">
        <f t="shared" si="43"/>
        <v>37.177821999261212</v>
      </c>
      <c r="I84" s="30">
        <v>698</v>
      </c>
      <c r="J84" s="31">
        <f t="shared" si="40"/>
        <v>42.141208064064294</v>
      </c>
      <c r="K84" s="32">
        <v>335</v>
      </c>
      <c r="L84" s="31">
        <f t="shared" si="41"/>
        <v>40.997349246015915</v>
      </c>
      <c r="M84" s="32">
        <v>363</v>
      </c>
      <c r="N84" s="33">
        <f t="shared" si="42"/>
        <v>43.254965979909677</v>
      </c>
      <c r="O84" s="53"/>
      <c r="P84" s="54"/>
    </row>
    <row r="85" spans="1:19" ht="17.25" customHeight="1" x14ac:dyDescent="0.25">
      <c r="B85" s="2" t="s">
        <v>48</v>
      </c>
      <c r="C85" s="69">
        <v>557</v>
      </c>
      <c r="D85" s="70">
        <f>+C85/$O$82*100000</f>
        <v>34.24796510519721</v>
      </c>
      <c r="E85" s="71">
        <v>474</v>
      </c>
      <c r="F85" s="70">
        <f>+E85/$P$82*100000</f>
        <v>5.8963643067442959</v>
      </c>
      <c r="G85" s="71">
        <v>83</v>
      </c>
      <c r="H85" s="72">
        <f t="shared" si="43"/>
        <v>9.8902539292906422</v>
      </c>
      <c r="I85" s="30" t="s">
        <v>12</v>
      </c>
      <c r="J85" s="31" t="s">
        <v>12</v>
      </c>
      <c r="K85" s="32" t="s">
        <v>12</v>
      </c>
      <c r="L85" s="31" t="s">
        <v>12</v>
      </c>
      <c r="M85" s="32" t="s">
        <v>12</v>
      </c>
      <c r="N85" s="33" t="s">
        <v>12</v>
      </c>
      <c r="O85" s="53"/>
      <c r="P85" s="54"/>
    </row>
    <row r="86" spans="1:19" ht="17.25" customHeight="1" x14ac:dyDescent="0.25">
      <c r="B86" s="109" t="s">
        <v>67</v>
      </c>
      <c r="C86" s="69">
        <f>7336-4111</f>
        <v>3225</v>
      </c>
      <c r="D86" s="70">
        <f>+C86/1656336*100000</f>
        <v>194.70687106963803</v>
      </c>
      <c r="E86" s="71">
        <f>4048-2303</f>
        <v>1745</v>
      </c>
      <c r="F86" s="70">
        <f>+E86/817126*100000</f>
        <v>213.55335652029186</v>
      </c>
      <c r="G86" s="71">
        <f>3288-1808</f>
        <v>1480</v>
      </c>
      <c r="H86" s="72">
        <f t="shared" si="43"/>
        <v>176.35633512470062</v>
      </c>
      <c r="I86" s="30">
        <v>3908</v>
      </c>
      <c r="J86" s="31">
        <f t="shared" si="40"/>
        <v>235.94246577989006</v>
      </c>
      <c r="K86" s="32">
        <v>2282</v>
      </c>
      <c r="L86" s="31">
        <f t="shared" si="41"/>
        <v>279.27149546092033</v>
      </c>
      <c r="M86" s="32">
        <v>1626</v>
      </c>
      <c r="N86" s="33">
        <f t="shared" si="42"/>
        <v>193.75364926538055</v>
      </c>
      <c r="O86" s="53"/>
      <c r="P86" s="54"/>
    </row>
    <row r="87" spans="1:19" ht="3.75" customHeight="1" thickBot="1" x14ac:dyDescent="0.3">
      <c r="A87" s="113"/>
      <c r="B87" s="74"/>
      <c r="C87" s="114"/>
      <c r="D87" s="81"/>
      <c r="E87" s="81"/>
      <c r="F87" s="81"/>
      <c r="G87" s="81"/>
      <c r="H87" s="115"/>
      <c r="I87" s="114"/>
      <c r="J87" s="77"/>
      <c r="K87" s="81"/>
      <c r="L87" s="77"/>
      <c r="M87" s="81"/>
      <c r="N87" s="82"/>
      <c r="O87" s="53"/>
      <c r="P87" s="54"/>
    </row>
    <row r="88" spans="1:19" ht="17.25" customHeight="1" thickTop="1" x14ac:dyDescent="0.25">
      <c r="A88" s="83" t="s">
        <v>0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4"/>
      <c r="P88" s="84"/>
      <c r="Q88" s="85"/>
    </row>
    <row r="89" spans="1:19" ht="17.25" customHeight="1" x14ac:dyDescent="0.25">
      <c r="A89" s="86" t="s">
        <v>1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73"/>
      <c r="P89" s="73"/>
      <c r="Q89" s="2"/>
    </row>
    <row r="90" spans="1:19" ht="12.75" customHeight="1" thickBot="1" x14ac:dyDescent="0.3">
      <c r="A90" s="4" t="s">
        <v>68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87"/>
      <c r="P90" s="87"/>
      <c r="Q90" s="88"/>
    </row>
    <row r="91" spans="1:19" ht="17.25" customHeight="1" thickTop="1" x14ac:dyDescent="0.25">
      <c r="A91" s="6" t="s">
        <v>2</v>
      </c>
      <c r="B91" s="116"/>
      <c r="C91" s="7">
        <v>2019</v>
      </c>
      <c r="D91" s="8"/>
      <c r="E91" s="8"/>
      <c r="F91" s="8"/>
      <c r="G91" s="8"/>
      <c r="H91" s="91"/>
      <c r="I91" s="117">
        <v>2020</v>
      </c>
      <c r="J91" s="118"/>
      <c r="K91" s="118"/>
      <c r="L91" s="118"/>
      <c r="M91" s="118"/>
      <c r="N91" s="118"/>
      <c r="O91" s="53"/>
      <c r="P91" s="54"/>
    </row>
    <row r="92" spans="1:19" ht="17.25" customHeight="1" x14ac:dyDescent="0.25">
      <c r="A92" s="12"/>
      <c r="B92" s="119"/>
      <c r="C92" s="120" t="s">
        <v>3</v>
      </c>
      <c r="D92" s="121"/>
      <c r="E92" s="15" t="s">
        <v>4</v>
      </c>
      <c r="F92" s="15"/>
      <c r="G92" s="15"/>
      <c r="H92" s="122"/>
      <c r="I92" s="13" t="s">
        <v>3</v>
      </c>
      <c r="J92" s="14"/>
      <c r="K92" s="123" t="s">
        <v>4</v>
      </c>
      <c r="L92" s="123"/>
      <c r="M92" s="123"/>
      <c r="N92" s="124"/>
      <c r="O92" s="53"/>
      <c r="P92" s="54"/>
    </row>
    <row r="93" spans="1:19" ht="17.25" customHeight="1" x14ac:dyDescent="0.25">
      <c r="A93" s="12"/>
      <c r="B93" s="119"/>
      <c r="C93" s="17"/>
      <c r="D93" s="18"/>
      <c r="E93" s="15" t="s">
        <v>5</v>
      </c>
      <c r="F93" s="15"/>
      <c r="G93" s="15" t="s">
        <v>6</v>
      </c>
      <c r="H93" s="122"/>
      <c r="I93" s="17"/>
      <c r="J93" s="18"/>
      <c r="K93" s="123" t="s">
        <v>5</v>
      </c>
      <c r="L93" s="123"/>
      <c r="M93" s="123" t="s">
        <v>6</v>
      </c>
      <c r="N93" s="124"/>
      <c r="O93" s="53"/>
      <c r="P93" s="54"/>
    </row>
    <row r="94" spans="1:19" ht="17.25" customHeight="1" thickBot="1" x14ac:dyDescent="0.3">
      <c r="A94" s="19"/>
      <c r="B94" s="125"/>
      <c r="C94" s="20" t="s">
        <v>7</v>
      </c>
      <c r="D94" s="21" t="s">
        <v>8</v>
      </c>
      <c r="E94" s="21" t="s">
        <v>7</v>
      </c>
      <c r="F94" s="21" t="s">
        <v>8</v>
      </c>
      <c r="G94" s="21" t="s">
        <v>7</v>
      </c>
      <c r="H94" s="103" t="s">
        <v>8</v>
      </c>
      <c r="I94" s="126" t="s">
        <v>7</v>
      </c>
      <c r="J94" s="127" t="s">
        <v>8</v>
      </c>
      <c r="K94" s="128" t="s">
        <v>7</v>
      </c>
      <c r="L94" s="127" t="s">
        <v>8</v>
      </c>
      <c r="M94" s="128" t="s">
        <v>7</v>
      </c>
      <c r="N94" s="129" t="s">
        <v>8</v>
      </c>
      <c r="O94" s="53"/>
      <c r="P94" s="54"/>
    </row>
    <row r="95" spans="1:19" s="35" customFormat="1" ht="17.25" customHeight="1" thickTop="1" x14ac:dyDescent="0.2">
      <c r="A95" s="130"/>
      <c r="B95" s="131" t="s">
        <v>69</v>
      </c>
      <c r="C95" s="105">
        <v>2655</v>
      </c>
      <c r="D95" s="106">
        <f>+C95/$O$99*100000</f>
        <v>443.59864597987678</v>
      </c>
      <c r="E95" s="107">
        <v>1463</v>
      </c>
      <c r="F95" s="106">
        <f>+E95/$P$99*100000</f>
        <v>484.80952254712224</v>
      </c>
      <c r="G95" s="107">
        <v>1091</v>
      </c>
      <c r="H95" s="108">
        <f>+G95/$Q$99*100000</f>
        <v>367.65449239416876</v>
      </c>
      <c r="I95" s="41">
        <v>3578</v>
      </c>
      <c r="J95" s="38">
        <f>I95/$S$97*100000</f>
        <v>589.98022956134025</v>
      </c>
      <c r="K95" s="42">
        <v>2078</v>
      </c>
      <c r="L95" s="38">
        <f>K95/$S$98*100000</f>
        <v>676.55121668522463</v>
      </c>
      <c r="M95" s="42">
        <v>1500</v>
      </c>
      <c r="N95" s="43">
        <f>M95/$S$99*100000</f>
        <v>501.14427943805021</v>
      </c>
      <c r="O95" s="55"/>
      <c r="P95" s="56"/>
      <c r="Q95" s="46"/>
    </row>
    <row r="96" spans="1:19" ht="17.25" customHeight="1" x14ac:dyDescent="0.25">
      <c r="A96" s="132"/>
      <c r="B96" s="2" t="s">
        <v>11</v>
      </c>
      <c r="C96" s="69" t="s">
        <v>12</v>
      </c>
      <c r="D96" s="70" t="s">
        <v>12</v>
      </c>
      <c r="E96" s="71" t="s">
        <v>12</v>
      </c>
      <c r="F96" s="70" t="s">
        <v>12</v>
      </c>
      <c r="G96" s="71" t="s">
        <v>12</v>
      </c>
      <c r="H96" s="72" t="s">
        <v>12</v>
      </c>
      <c r="I96" s="30">
        <v>779</v>
      </c>
      <c r="J96" s="31">
        <f t="shared" ref="J96:J102" si="44">I96/$S$97*100000</f>
        <v>128.45013941539523</v>
      </c>
      <c r="K96" s="32">
        <v>466</v>
      </c>
      <c r="L96" s="31">
        <f t="shared" ref="L96:L102" si="45">K96/$S$98*100000</f>
        <v>151.71937775520436</v>
      </c>
      <c r="M96" s="32">
        <v>313</v>
      </c>
      <c r="N96" s="33">
        <f t="shared" ref="N96:N102" si="46">M96/$S$99*100000</f>
        <v>104.57210630940648</v>
      </c>
      <c r="O96" s="53"/>
      <c r="P96" s="54"/>
    </row>
    <row r="97" spans="1:20" ht="17.25" customHeight="1" x14ac:dyDescent="0.25">
      <c r="A97" s="132"/>
      <c r="B97" s="133" t="s">
        <v>70</v>
      </c>
      <c r="C97" s="134">
        <v>435</v>
      </c>
      <c r="D97" s="70">
        <f t="shared" ref="D97:D102" si="47">+C97/$O$99*100000</f>
        <v>72.680004143595639</v>
      </c>
      <c r="E97" s="71">
        <v>213</v>
      </c>
      <c r="F97" s="70">
        <f t="shared" ref="F97:F102" si="48">+E97/$P$99*100000</f>
        <v>70.584024813764216</v>
      </c>
      <c r="G97" s="71">
        <v>222</v>
      </c>
      <c r="H97" s="72">
        <f t="shared" ref="H97:H102" si="49">+G97/$Q$99*100000</f>
        <v>74.811454914303809</v>
      </c>
      <c r="I97" s="30">
        <v>490</v>
      </c>
      <c r="J97" s="31">
        <f t="shared" si="44"/>
        <v>80.796621711866052</v>
      </c>
      <c r="K97" s="32">
        <v>256</v>
      </c>
      <c r="L97" s="31">
        <f t="shared" si="45"/>
        <v>83.347984346206687</v>
      </c>
      <c r="M97" s="32">
        <v>234</v>
      </c>
      <c r="N97" s="33">
        <f t="shared" si="46"/>
        <v>78.178507592335833</v>
      </c>
      <c r="O97" s="53"/>
      <c r="P97" s="54"/>
      <c r="R97" s="2" t="s">
        <v>71</v>
      </c>
      <c r="S97" s="2">
        <v>606461</v>
      </c>
    </row>
    <row r="98" spans="1:20" ht="17.25" customHeight="1" x14ac:dyDescent="0.25">
      <c r="A98" s="132"/>
      <c r="B98" s="133" t="s">
        <v>58</v>
      </c>
      <c r="C98" s="134">
        <v>291</v>
      </c>
      <c r="D98" s="70">
        <f t="shared" si="47"/>
        <v>48.620416565026048</v>
      </c>
      <c r="E98" s="71">
        <v>191</v>
      </c>
      <c r="F98" s="70">
        <f t="shared" si="48"/>
        <v>63.293656053657109</v>
      </c>
      <c r="G98" s="71">
        <v>100</v>
      </c>
      <c r="H98" s="72">
        <f t="shared" si="49"/>
        <v>33.698853565001713</v>
      </c>
      <c r="I98" s="30">
        <v>343</v>
      </c>
      <c r="J98" s="31">
        <f t="shared" si="44"/>
        <v>56.557635198306244</v>
      </c>
      <c r="K98" s="32">
        <v>216</v>
      </c>
      <c r="L98" s="31">
        <f t="shared" si="45"/>
        <v>70.324861792111889</v>
      </c>
      <c r="M98" s="32">
        <v>127</v>
      </c>
      <c r="N98" s="33">
        <f t="shared" si="46"/>
        <v>42.430215659088248</v>
      </c>
      <c r="O98" s="53"/>
      <c r="P98" s="54"/>
      <c r="S98" s="2">
        <v>307146</v>
      </c>
    </row>
    <row r="99" spans="1:20" ht="17.25" customHeight="1" x14ac:dyDescent="0.25">
      <c r="B99" s="135" t="s">
        <v>32</v>
      </c>
      <c r="C99" s="2">
        <v>225</v>
      </c>
      <c r="D99" s="70">
        <f t="shared" si="47"/>
        <v>37.593105591514984</v>
      </c>
      <c r="E99" s="2">
        <v>126</v>
      </c>
      <c r="F99" s="70">
        <f t="shared" si="48"/>
        <v>41.753930171522491</v>
      </c>
      <c r="G99" s="2">
        <v>99</v>
      </c>
      <c r="H99" s="72">
        <f t="shared" si="49"/>
        <v>33.361865029351698</v>
      </c>
      <c r="I99" s="30" t="s">
        <v>12</v>
      </c>
      <c r="J99" s="31" t="s">
        <v>12</v>
      </c>
      <c r="K99" s="32" t="s">
        <v>12</v>
      </c>
      <c r="L99" s="31" t="s">
        <v>12</v>
      </c>
      <c r="M99" s="32" t="s">
        <v>12</v>
      </c>
      <c r="N99" s="33" t="s">
        <v>12</v>
      </c>
      <c r="O99" s="53">
        <v>598514</v>
      </c>
      <c r="P99" s="54">
        <v>301768</v>
      </c>
      <c r="Q99" s="3">
        <v>296746</v>
      </c>
      <c r="S99" s="2">
        <v>299315</v>
      </c>
    </row>
    <row r="100" spans="1:20" ht="17.25" customHeight="1" x14ac:dyDescent="0.25">
      <c r="A100" s="136"/>
      <c r="B100" s="68" t="s">
        <v>72</v>
      </c>
      <c r="C100" s="69">
        <v>224</v>
      </c>
      <c r="D100" s="70">
        <f>+C100/$O$99*100000</f>
        <v>37.426025122219365</v>
      </c>
      <c r="E100" s="71">
        <v>117</v>
      </c>
      <c r="F100" s="70">
        <f t="shared" si="48"/>
        <v>38.771506587842318</v>
      </c>
      <c r="G100" s="71">
        <v>107</v>
      </c>
      <c r="H100" s="72">
        <f t="shared" si="49"/>
        <v>36.057773314551845</v>
      </c>
      <c r="I100" s="30">
        <v>271</v>
      </c>
      <c r="J100" s="31">
        <f t="shared" si="44"/>
        <v>44.685478538603469</v>
      </c>
      <c r="K100" s="32">
        <v>153</v>
      </c>
      <c r="L100" s="31">
        <f t="shared" si="45"/>
        <v>49.813443769412594</v>
      </c>
      <c r="M100" s="32">
        <v>118</v>
      </c>
      <c r="N100" s="33">
        <f t="shared" si="46"/>
        <v>39.423349982459946</v>
      </c>
      <c r="O100" s="53"/>
      <c r="P100" s="54"/>
    </row>
    <row r="101" spans="1:20" ht="17.25" customHeight="1" x14ac:dyDescent="0.25">
      <c r="A101" s="136"/>
      <c r="B101" s="68" t="s">
        <v>73</v>
      </c>
      <c r="C101" s="69">
        <v>181</v>
      </c>
      <c r="D101" s="70">
        <f>+C101/$O$99*100000</f>
        <v>30.241564942507612</v>
      </c>
      <c r="E101" s="71">
        <v>97</v>
      </c>
      <c r="F101" s="70">
        <f>+E101/$P$99*100000</f>
        <v>32.143898624108587</v>
      </c>
      <c r="G101" s="71">
        <v>84</v>
      </c>
      <c r="H101" s="72">
        <f>+G101/$Q$99*100000</f>
        <v>28.307036994601443</v>
      </c>
      <c r="I101" s="30">
        <v>260</v>
      </c>
      <c r="J101" s="31">
        <f t="shared" si="44"/>
        <v>42.871676826704437</v>
      </c>
      <c r="K101" s="32">
        <v>127</v>
      </c>
      <c r="L101" s="31">
        <f t="shared" si="45"/>
        <v>41.348414109250974</v>
      </c>
      <c r="M101" s="32">
        <v>133</v>
      </c>
      <c r="N101" s="33">
        <f t="shared" si="46"/>
        <v>44.434792776840453</v>
      </c>
      <c r="O101" s="53"/>
      <c r="P101" s="54"/>
    </row>
    <row r="102" spans="1:20" ht="17.25" customHeight="1" x14ac:dyDescent="0.25">
      <c r="A102" s="136"/>
      <c r="B102" s="68" t="s">
        <v>74</v>
      </c>
      <c r="C102" s="69">
        <f>C95-1356</f>
        <v>1299</v>
      </c>
      <c r="D102" s="70">
        <f t="shared" si="47"/>
        <v>217.03752961501317</v>
      </c>
      <c r="E102" s="71">
        <f>E95-744</f>
        <v>719</v>
      </c>
      <c r="F102" s="70">
        <f t="shared" si="48"/>
        <v>238.26250629622757</v>
      </c>
      <c r="G102" s="71">
        <f>G95-612</f>
        <v>479</v>
      </c>
      <c r="H102" s="72">
        <f t="shared" si="49"/>
        <v>161.41750857635822</v>
      </c>
      <c r="I102" s="30">
        <v>1435</v>
      </c>
      <c r="J102" s="31">
        <f t="shared" si="44"/>
        <v>236.61867787046486</v>
      </c>
      <c r="K102" s="32">
        <v>860</v>
      </c>
      <c r="L102" s="31">
        <f t="shared" si="45"/>
        <v>279.99713491303811</v>
      </c>
      <c r="M102" s="32">
        <v>575</v>
      </c>
      <c r="N102" s="33">
        <f t="shared" si="46"/>
        <v>192.10530711791927</v>
      </c>
      <c r="O102" s="53"/>
      <c r="P102" s="54"/>
    </row>
    <row r="103" spans="1:20" s="35" customFormat="1" ht="17.25" customHeight="1" x14ac:dyDescent="0.2">
      <c r="A103" s="131"/>
      <c r="B103" s="104" t="s">
        <v>75</v>
      </c>
      <c r="C103" s="105">
        <v>1375</v>
      </c>
      <c r="D103" s="106">
        <f>+C103/$O$105*100000</f>
        <v>555.23251118541134</v>
      </c>
      <c r="E103" s="107">
        <v>832</v>
      </c>
      <c r="F103" s="106">
        <f>+E103/$P$105*100000</f>
        <v>648.04068947790665</v>
      </c>
      <c r="G103" s="107">
        <v>543</v>
      </c>
      <c r="H103" s="108">
        <f>+G103/$Q$105*100000</f>
        <v>455.31918461809369</v>
      </c>
      <c r="I103" s="41">
        <v>1438</v>
      </c>
      <c r="J103" s="38">
        <f>I103/$S$103*100000</f>
        <v>579.0798348937883</v>
      </c>
      <c r="K103" s="42">
        <v>899</v>
      </c>
      <c r="L103" s="38">
        <f>K103/$S$104*100000</f>
        <v>698.74629835456517</v>
      </c>
      <c r="M103" s="42">
        <v>539</v>
      </c>
      <c r="N103" s="43">
        <f>M103/$S$105*100000</f>
        <v>450.4203366035465</v>
      </c>
      <c r="O103" s="55"/>
      <c r="P103" s="56"/>
      <c r="Q103" s="46"/>
      <c r="R103" s="35" t="s">
        <v>76</v>
      </c>
      <c r="S103" s="35">
        <v>248325</v>
      </c>
    </row>
    <row r="104" spans="1:20" ht="17.25" customHeight="1" x14ac:dyDescent="0.25">
      <c r="A104" s="136"/>
      <c r="B104" s="68" t="s">
        <v>54</v>
      </c>
      <c r="C104" s="69">
        <v>239</v>
      </c>
      <c r="D104" s="70">
        <f>+C104/$O$105*100000</f>
        <v>96.509505580591494</v>
      </c>
      <c r="E104" s="71">
        <v>134</v>
      </c>
      <c r="F104" s="70">
        <f>+E104/$P$105*100000</f>
        <v>104.37193796879747</v>
      </c>
      <c r="G104" s="71">
        <v>105</v>
      </c>
      <c r="H104" s="72">
        <f>+G104/$Q$105*100000</f>
        <v>88.045146196868956</v>
      </c>
      <c r="I104" s="30">
        <v>189</v>
      </c>
      <c r="J104" s="31">
        <f t="shared" ref="J104:J110" si="50">I104/$S$103*100000</f>
        <v>76.109936575052856</v>
      </c>
      <c r="K104" s="32">
        <v>108</v>
      </c>
      <c r="L104" s="31">
        <f t="shared" ref="L104:L110" si="51">K104/$S$104*100000</f>
        <v>83.942825608779799</v>
      </c>
      <c r="M104" s="32">
        <v>81</v>
      </c>
      <c r="N104" s="33">
        <f t="shared" ref="N104:N110" si="52">M104/$S$105*100000</f>
        <v>67.688399378269523</v>
      </c>
      <c r="O104" s="53"/>
      <c r="P104" s="54"/>
      <c r="S104" s="2">
        <v>128659</v>
      </c>
    </row>
    <row r="105" spans="1:20" ht="17.25" customHeight="1" x14ac:dyDescent="0.25">
      <c r="A105" s="136"/>
      <c r="B105" s="2" t="s">
        <v>11</v>
      </c>
      <c r="C105" s="69" t="s">
        <v>12</v>
      </c>
      <c r="D105" s="70" t="s">
        <v>12</v>
      </c>
      <c r="E105" s="71" t="s">
        <v>12</v>
      </c>
      <c r="F105" s="70" t="s">
        <v>12</v>
      </c>
      <c r="G105" s="71" t="s">
        <v>12</v>
      </c>
      <c r="H105" s="72" t="s">
        <v>12</v>
      </c>
      <c r="I105" s="30">
        <v>143</v>
      </c>
      <c r="J105" s="31">
        <f t="shared" si="50"/>
        <v>57.585825027685495</v>
      </c>
      <c r="K105" s="32">
        <v>86</v>
      </c>
      <c r="L105" s="31">
        <f t="shared" si="51"/>
        <v>66.843361132917252</v>
      </c>
      <c r="M105" s="32">
        <v>57</v>
      </c>
      <c r="N105" s="33">
        <f t="shared" si="52"/>
        <v>47.632577340263737</v>
      </c>
      <c r="O105" s="58">
        <v>247644</v>
      </c>
      <c r="P105" s="59">
        <v>128387</v>
      </c>
      <c r="Q105" s="3">
        <v>119257</v>
      </c>
      <c r="S105" s="2">
        <v>119666</v>
      </c>
    </row>
    <row r="106" spans="1:20" ht="17.25" customHeight="1" x14ac:dyDescent="0.25">
      <c r="A106" s="136"/>
      <c r="B106" s="135" t="s">
        <v>32</v>
      </c>
      <c r="C106" s="69">
        <v>120</v>
      </c>
      <c r="D106" s="70"/>
      <c r="E106" s="71">
        <v>79</v>
      </c>
      <c r="F106" s="70"/>
      <c r="G106" s="71">
        <v>41</v>
      </c>
      <c r="H106" s="72"/>
      <c r="I106" s="30">
        <v>142</v>
      </c>
      <c r="J106" s="31">
        <f t="shared" si="50"/>
        <v>57.183126950568813</v>
      </c>
      <c r="K106" s="32">
        <v>80</v>
      </c>
      <c r="L106" s="31">
        <f t="shared" si="51"/>
        <v>62.179870821318367</v>
      </c>
      <c r="M106" s="32">
        <v>62</v>
      </c>
      <c r="N106" s="33">
        <f t="shared" si="52"/>
        <v>51.810873598181608</v>
      </c>
      <c r="O106" s="58"/>
      <c r="P106" s="59"/>
    </row>
    <row r="107" spans="1:20" ht="17.25" customHeight="1" x14ac:dyDescent="0.25">
      <c r="A107" s="136"/>
      <c r="B107" s="68" t="s">
        <v>77</v>
      </c>
      <c r="C107" s="69">
        <v>116</v>
      </c>
      <c r="D107" s="70">
        <f>+C107/$O$105*100000</f>
        <v>46.841433670914704</v>
      </c>
      <c r="E107" s="71">
        <v>64</v>
      </c>
      <c r="F107" s="70">
        <f>+E107/$P$105*100000</f>
        <v>49.849283805992819</v>
      </c>
      <c r="G107" s="71">
        <v>52</v>
      </c>
      <c r="H107" s="72">
        <f>+G107/$Q$105*100000</f>
        <v>43.603310497496999</v>
      </c>
      <c r="I107" s="30">
        <v>121</v>
      </c>
      <c r="J107" s="31">
        <f t="shared" si="50"/>
        <v>48.726467331118492</v>
      </c>
      <c r="K107" s="32">
        <v>83</v>
      </c>
      <c r="L107" s="31">
        <f t="shared" si="51"/>
        <v>64.511615977117813</v>
      </c>
      <c r="M107" s="32">
        <v>38</v>
      </c>
      <c r="N107" s="33">
        <f t="shared" si="52"/>
        <v>31.755051560175822</v>
      </c>
      <c r="O107" s="53"/>
      <c r="P107" s="54"/>
    </row>
    <row r="108" spans="1:20" ht="17.25" customHeight="1" x14ac:dyDescent="0.25">
      <c r="A108" s="136"/>
      <c r="B108" s="68" t="s">
        <v>38</v>
      </c>
      <c r="C108" s="69">
        <v>91</v>
      </c>
      <c r="D108" s="70">
        <f>+C108/$O$105*100000</f>
        <v>36.746297103907224</v>
      </c>
      <c r="E108" s="71">
        <v>49</v>
      </c>
      <c r="F108" s="70">
        <f>+E108/$P$105*100000</f>
        <v>38.165857913963251</v>
      </c>
      <c r="G108" s="71">
        <v>42</v>
      </c>
      <c r="H108" s="72">
        <f>+G108/$Q$105*100000</f>
        <v>35.218058478747579</v>
      </c>
      <c r="I108" s="30" t="s">
        <v>12</v>
      </c>
      <c r="J108" s="31" t="s">
        <v>12</v>
      </c>
      <c r="K108" s="32" t="s">
        <v>12</v>
      </c>
      <c r="L108" s="31" t="s">
        <v>12</v>
      </c>
      <c r="M108" s="32" t="s">
        <v>12</v>
      </c>
      <c r="N108" s="33" t="s">
        <v>12</v>
      </c>
      <c r="O108" s="53" t="s">
        <v>12</v>
      </c>
      <c r="P108" s="54"/>
    </row>
    <row r="109" spans="1:20" ht="17.25" customHeight="1" x14ac:dyDescent="0.25">
      <c r="A109" s="136"/>
      <c r="B109" s="2" t="s">
        <v>48</v>
      </c>
      <c r="C109" s="69">
        <v>87</v>
      </c>
      <c r="D109" s="70">
        <f>+C109/$O$105*100000</f>
        <v>35.131075253186026</v>
      </c>
      <c r="E109" s="71">
        <v>73</v>
      </c>
      <c r="F109" s="70">
        <f>+E109/$P$105*100000</f>
        <v>56.859339341210557</v>
      </c>
      <c r="G109" s="71">
        <v>14</v>
      </c>
      <c r="H109" s="72">
        <f>+G109/$Q$105*100000</f>
        <v>11.739352826249194</v>
      </c>
      <c r="I109" s="30">
        <v>93</v>
      </c>
      <c r="J109" s="31">
        <f t="shared" si="50"/>
        <v>37.450921171851405</v>
      </c>
      <c r="K109" s="32">
        <v>74</v>
      </c>
      <c r="L109" s="31">
        <f t="shared" si="51"/>
        <v>57.51638050971949</v>
      </c>
      <c r="M109" s="32">
        <v>19</v>
      </c>
      <c r="N109" s="33">
        <f t="shared" si="52"/>
        <v>15.877525780087911</v>
      </c>
      <c r="O109" s="53"/>
      <c r="P109" s="54"/>
    </row>
    <row r="110" spans="1:20" ht="17.25" customHeight="1" x14ac:dyDescent="0.25">
      <c r="A110" s="136"/>
      <c r="B110" s="68" t="s">
        <v>78</v>
      </c>
      <c r="C110" s="69">
        <f>C103-653</f>
        <v>722</v>
      </c>
      <c r="D110" s="70">
        <f>+C110/$O$105*100000</f>
        <v>291.54754405517599</v>
      </c>
      <c r="E110" s="112">
        <f>E103-399</f>
        <v>433</v>
      </c>
      <c r="F110" s="70">
        <f>+E110/$P$105*100000</f>
        <v>337.26156074992019</v>
      </c>
      <c r="G110" s="71">
        <f>G103-254</f>
        <v>289</v>
      </c>
      <c r="H110" s="72">
        <f>+G110/$Q$105*100000</f>
        <v>242.33378334185835</v>
      </c>
      <c r="I110" s="30">
        <f>I103-688</f>
        <v>750</v>
      </c>
      <c r="J110" s="31">
        <f t="shared" si="50"/>
        <v>302.02355783751136</v>
      </c>
      <c r="K110" s="32">
        <f>K103-431</f>
        <v>468</v>
      </c>
      <c r="L110" s="31">
        <f t="shared" si="51"/>
        <v>363.75224430471246</v>
      </c>
      <c r="M110" s="32">
        <f>M103-257</f>
        <v>282</v>
      </c>
      <c r="N110" s="33">
        <f t="shared" si="52"/>
        <v>235.65590894656796</v>
      </c>
      <c r="O110" s="53"/>
      <c r="P110" s="54"/>
    </row>
    <row r="111" spans="1:20" s="35" customFormat="1" ht="17.25" customHeight="1" thickBot="1" x14ac:dyDescent="0.25">
      <c r="A111" s="131"/>
      <c r="B111" s="35" t="s">
        <v>79</v>
      </c>
      <c r="C111" s="41">
        <v>36</v>
      </c>
      <c r="D111" s="38">
        <f>C111/$O$111*100000</f>
        <v>281.84451577546383</v>
      </c>
      <c r="E111" s="42">
        <v>19</v>
      </c>
      <c r="F111" s="38">
        <f>E111/$P$111*100000</f>
        <v>282.9064919594997</v>
      </c>
      <c r="G111" s="42">
        <v>17</v>
      </c>
      <c r="H111" s="40">
        <f>G111/$Q$111*100000</f>
        <v>280.66699686313359</v>
      </c>
      <c r="I111" s="41">
        <v>48</v>
      </c>
      <c r="J111" s="38">
        <f>I111/$T$112*100000</f>
        <v>368.77688998156117</v>
      </c>
      <c r="K111" s="42">
        <v>33</v>
      </c>
      <c r="L111" s="38">
        <f>K111/$T$113*100000</f>
        <v>482.80907095830287</v>
      </c>
      <c r="M111" s="42">
        <v>15</v>
      </c>
      <c r="N111" s="43">
        <f>M111/$T$114*100000</f>
        <v>242.67917812651675</v>
      </c>
      <c r="O111" s="55">
        <v>12773</v>
      </c>
      <c r="P111" s="56">
        <v>6716</v>
      </c>
      <c r="Q111" s="46">
        <v>6057</v>
      </c>
    </row>
    <row r="112" spans="1:20" ht="17.25" customHeight="1" x14ac:dyDescent="0.25">
      <c r="A112" s="136"/>
      <c r="B112" s="2" t="s">
        <v>11</v>
      </c>
      <c r="C112" s="30" t="s">
        <v>12</v>
      </c>
      <c r="D112" s="31" t="s">
        <v>12</v>
      </c>
      <c r="E112" s="32" t="s">
        <v>12</v>
      </c>
      <c r="F112" s="31" t="s">
        <v>12</v>
      </c>
      <c r="G112" s="32" t="s">
        <v>12</v>
      </c>
      <c r="H112" s="49" t="s">
        <v>12</v>
      </c>
      <c r="I112" s="30">
        <v>13</v>
      </c>
      <c r="J112" s="31">
        <f t="shared" ref="J112:J116" si="53">I112/$T$112*100000</f>
        <v>99.877074370006156</v>
      </c>
      <c r="K112" s="32">
        <v>10</v>
      </c>
      <c r="L112" s="31">
        <f t="shared" ref="L112:L116" si="54">K112/$T$113*100000</f>
        <v>146.30577907827359</v>
      </c>
      <c r="M112" s="32">
        <v>3</v>
      </c>
      <c r="N112" s="33">
        <f t="shared" ref="N112:N116" si="55">M112/$T$114*100000</f>
        <v>48.535835625303349</v>
      </c>
      <c r="O112" s="61"/>
      <c r="R112" s="137" t="s">
        <v>80</v>
      </c>
      <c r="T112" s="138">
        <v>13016</v>
      </c>
    </row>
    <row r="113" spans="1:20" ht="17.25" customHeight="1" x14ac:dyDescent="0.25">
      <c r="A113" s="136"/>
      <c r="B113" s="2" t="s">
        <v>57</v>
      </c>
      <c r="C113" s="30" t="s">
        <v>12</v>
      </c>
      <c r="D113" s="31" t="s">
        <v>12</v>
      </c>
      <c r="E113" s="32" t="s">
        <v>12</v>
      </c>
      <c r="F113" s="31" t="s">
        <v>12</v>
      </c>
      <c r="G113" s="32" t="s">
        <v>12</v>
      </c>
      <c r="H113" s="49" t="s">
        <v>12</v>
      </c>
      <c r="I113" s="30">
        <v>3</v>
      </c>
      <c r="J113" s="31">
        <f t="shared" si="53"/>
        <v>23.048555623847573</v>
      </c>
      <c r="K113" s="32">
        <v>1</v>
      </c>
      <c r="L113" s="31">
        <f t="shared" si="54"/>
        <v>14.630577907827361</v>
      </c>
      <c r="M113" s="32">
        <v>2</v>
      </c>
      <c r="N113" s="33">
        <f t="shared" si="55"/>
        <v>32.35722375020223</v>
      </c>
      <c r="O113" s="61"/>
      <c r="R113" s="139"/>
      <c r="S113" s="2" t="s">
        <v>81</v>
      </c>
      <c r="T113" s="140">
        <v>6835</v>
      </c>
    </row>
    <row r="114" spans="1:20" ht="17.25" customHeight="1" thickBot="1" x14ac:dyDescent="0.3">
      <c r="A114" s="136"/>
      <c r="B114" s="2" t="s">
        <v>82</v>
      </c>
      <c r="C114" s="30" t="s">
        <v>12</v>
      </c>
      <c r="D114" s="31" t="s">
        <v>12</v>
      </c>
      <c r="E114" s="32" t="s">
        <v>12</v>
      </c>
      <c r="F114" s="31" t="s">
        <v>12</v>
      </c>
      <c r="G114" s="32" t="s">
        <v>12</v>
      </c>
      <c r="H114" s="49" t="s">
        <v>12</v>
      </c>
      <c r="I114" s="30">
        <v>3</v>
      </c>
      <c r="J114" s="31">
        <f t="shared" si="53"/>
        <v>23.048555623847573</v>
      </c>
      <c r="K114" s="32">
        <v>1</v>
      </c>
      <c r="L114" s="31">
        <f t="shared" si="54"/>
        <v>14.630577907827361</v>
      </c>
      <c r="M114" s="32">
        <v>2</v>
      </c>
      <c r="N114" s="33">
        <f t="shared" si="55"/>
        <v>32.35722375020223</v>
      </c>
      <c r="O114" s="61"/>
      <c r="R114" s="139"/>
      <c r="S114" s="2" t="s">
        <v>83</v>
      </c>
      <c r="T114" s="141">
        <v>6181</v>
      </c>
    </row>
    <row r="115" spans="1:20" ht="17.25" customHeight="1" x14ac:dyDescent="0.25">
      <c r="A115" s="136"/>
      <c r="B115" s="2" t="s">
        <v>84</v>
      </c>
      <c r="C115" s="30" t="s">
        <v>12</v>
      </c>
      <c r="D115" s="31" t="s">
        <v>12</v>
      </c>
      <c r="E115" s="32" t="s">
        <v>12</v>
      </c>
      <c r="F115" s="31" t="s">
        <v>12</v>
      </c>
      <c r="G115" s="32" t="s">
        <v>12</v>
      </c>
      <c r="H115" s="49" t="s">
        <v>12</v>
      </c>
      <c r="I115" s="30">
        <v>2</v>
      </c>
      <c r="J115" s="31">
        <f t="shared" si="53"/>
        <v>15.365703749231713</v>
      </c>
      <c r="K115" s="32">
        <v>2</v>
      </c>
      <c r="L115" s="31">
        <f t="shared" si="54"/>
        <v>29.261155815654721</v>
      </c>
      <c r="M115" s="32" t="s">
        <v>85</v>
      </c>
      <c r="N115" s="33" t="s">
        <v>85</v>
      </c>
      <c r="O115" s="61"/>
      <c r="R115" s="139"/>
    </row>
    <row r="116" spans="1:20" ht="17.25" customHeight="1" x14ac:dyDescent="0.25">
      <c r="A116" s="136"/>
      <c r="B116" s="2" t="s">
        <v>22</v>
      </c>
      <c r="C116" s="30">
        <v>3</v>
      </c>
      <c r="D116" s="31">
        <f t="shared" ref="D116:D121" si="56">C116/$O$111*100000</f>
        <v>23.487042981288656</v>
      </c>
      <c r="E116" s="32">
        <v>3</v>
      </c>
      <c r="F116" s="31">
        <f t="shared" ref="F116:F121" si="57">E116/$P$111*100000</f>
        <v>44.66944609886837</v>
      </c>
      <c r="G116" s="32" t="s">
        <v>85</v>
      </c>
      <c r="H116" s="49" t="s">
        <v>85</v>
      </c>
      <c r="I116" s="30">
        <v>3</v>
      </c>
      <c r="J116" s="31">
        <f t="shared" si="53"/>
        <v>23.048555623847573</v>
      </c>
      <c r="K116" s="32">
        <v>2</v>
      </c>
      <c r="L116" s="31">
        <f t="shared" si="54"/>
        <v>29.261155815654721</v>
      </c>
      <c r="M116" s="32">
        <v>1</v>
      </c>
      <c r="N116" s="33">
        <f t="shared" si="55"/>
        <v>16.178611875101115</v>
      </c>
      <c r="O116" s="61"/>
    </row>
    <row r="117" spans="1:20" ht="17.25" customHeight="1" x14ac:dyDescent="0.25">
      <c r="A117" s="136"/>
      <c r="B117" s="2" t="s">
        <v>86</v>
      </c>
      <c r="C117" s="30">
        <v>4</v>
      </c>
      <c r="D117" s="31">
        <f t="shared" si="56"/>
        <v>31.316057308384877</v>
      </c>
      <c r="E117" s="32">
        <v>3</v>
      </c>
      <c r="F117" s="31">
        <f t="shared" si="57"/>
        <v>44.66944609886837</v>
      </c>
      <c r="G117" s="32">
        <v>1</v>
      </c>
      <c r="H117" s="49">
        <f>G117/$Q$111*100000</f>
        <v>16.509823344890211</v>
      </c>
      <c r="I117" s="30" t="s">
        <v>12</v>
      </c>
      <c r="J117" s="31" t="s">
        <v>12</v>
      </c>
      <c r="K117" s="32" t="s">
        <v>12</v>
      </c>
      <c r="L117" s="31" t="s">
        <v>12</v>
      </c>
      <c r="M117" s="32" t="s">
        <v>12</v>
      </c>
      <c r="N117" s="33" t="s">
        <v>12</v>
      </c>
      <c r="O117" s="142"/>
      <c r="P117" s="143"/>
      <c r="Q117" s="144"/>
    </row>
    <row r="118" spans="1:20" ht="17.25" customHeight="1" x14ac:dyDescent="0.25">
      <c r="A118" s="136"/>
      <c r="B118" s="2" t="s">
        <v>87</v>
      </c>
      <c r="C118" s="30">
        <v>4</v>
      </c>
      <c r="D118" s="31">
        <f t="shared" si="56"/>
        <v>31.316057308384877</v>
      </c>
      <c r="E118" s="32">
        <v>3</v>
      </c>
      <c r="F118" s="31">
        <f t="shared" si="57"/>
        <v>44.66944609886837</v>
      </c>
      <c r="G118" s="32">
        <v>1</v>
      </c>
      <c r="H118" s="49">
        <f>G118/$Q$111*100000</f>
        <v>16.509823344890211</v>
      </c>
      <c r="I118" s="30" t="s">
        <v>12</v>
      </c>
      <c r="J118" s="31" t="s">
        <v>12</v>
      </c>
      <c r="K118" s="32" t="s">
        <v>12</v>
      </c>
      <c r="L118" s="31" t="s">
        <v>12</v>
      </c>
      <c r="M118" s="32" t="s">
        <v>12</v>
      </c>
      <c r="N118" s="33" t="s">
        <v>12</v>
      </c>
      <c r="O118" s="142"/>
      <c r="P118" s="143"/>
      <c r="Q118" s="144"/>
    </row>
    <row r="119" spans="1:20" ht="17.25" customHeight="1" x14ac:dyDescent="0.25">
      <c r="A119" s="136"/>
      <c r="B119" s="2" t="s">
        <v>47</v>
      </c>
      <c r="C119" s="30">
        <v>4</v>
      </c>
      <c r="D119" s="31">
        <f t="shared" si="56"/>
        <v>31.316057308384877</v>
      </c>
      <c r="E119" s="32">
        <v>1</v>
      </c>
      <c r="F119" s="31">
        <f t="shared" si="57"/>
        <v>14.88981536628946</v>
      </c>
      <c r="G119" s="32">
        <v>3</v>
      </c>
      <c r="H119" s="49">
        <f>G119/$Q$111*100000</f>
        <v>49.529470034670624</v>
      </c>
      <c r="I119" s="30" t="s">
        <v>12</v>
      </c>
      <c r="J119" s="31" t="s">
        <v>12</v>
      </c>
      <c r="K119" s="32" t="s">
        <v>12</v>
      </c>
      <c r="L119" s="31" t="s">
        <v>12</v>
      </c>
      <c r="M119" s="32" t="s">
        <v>12</v>
      </c>
      <c r="N119" s="33" t="s">
        <v>12</v>
      </c>
      <c r="O119" s="142"/>
      <c r="P119" s="143"/>
      <c r="Q119" s="144"/>
    </row>
    <row r="120" spans="1:20" ht="17.25" customHeight="1" x14ac:dyDescent="0.25">
      <c r="A120" s="136"/>
      <c r="B120" s="2" t="s">
        <v>51</v>
      </c>
      <c r="C120" s="30">
        <v>2</v>
      </c>
      <c r="D120" s="31">
        <f t="shared" si="56"/>
        <v>15.658028654192439</v>
      </c>
      <c r="E120" s="32">
        <v>1</v>
      </c>
      <c r="F120" s="31">
        <f t="shared" si="57"/>
        <v>14.88981536628946</v>
      </c>
      <c r="G120" s="32">
        <v>1</v>
      </c>
      <c r="H120" s="49">
        <f>G120/$Q$111*100000</f>
        <v>16.509823344890211</v>
      </c>
      <c r="I120" s="30" t="s">
        <v>12</v>
      </c>
      <c r="J120" s="31" t="s">
        <v>12</v>
      </c>
      <c r="K120" s="32" t="s">
        <v>12</v>
      </c>
      <c r="L120" s="31" t="s">
        <v>12</v>
      </c>
      <c r="M120" s="32" t="s">
        <v>12</v>
      </c>
      <c r="N120" s="33" t="s">
        <v>12</v>
      </c>
      <c r="O120" s="61"/>
    </row>
    <row r="121" spans="1:20" ht="17.25" customHeight="1" x14ac:dyDescent="0.25">
      <c r="A121" s="136"/>
      <c r="B121" s="2" t="s">
        <v>88</v>
      </c>
      <c r="C121" s="30">
        <v>19</v>
      </c>
      <c r="D121" s="31">
        <f t="shared" si="56"/>
        <v>148.75127221482816</v>
      </c>
      <c r="E121" s="32">
        <v>8</v>
      </c>
      <c r="F121" s="31">
        <f t="shared" si="57"/>
        <v>119.11852293031568</v>
      </c>
      <c r="G121" s="32">
        <v>11</v>
      </c>
      <c r="H121" s="49">
        <f>G121/$Q$111*100000</f>
        <v>181.60805679379231</v>
      </c>
      <c r="I121" s="30">
        <v>24</v>
      </c>
      <c r="J121" s="31">
        <f>I121/T112*100000</f>
        <v>184.38844499078058</v>
      </c>
      <c r="K121" s="32">
        <v>17</v>
      </c>
      <c r="L121" s="31">
        <f>K121/T113*100000</f>
        <v>248.7198244330651</v>
      </c>
      <c r="M121" s="32">
        <v>7</v>
      </c>
      <c r="N121" s="33">
        <f>M121/T114*100000</f>
        <v>113.25028312570782</v>
      </c>
      <c r="O121" s="61"/>
    </row>
    <row r="122" spans="1:20" s="35" customFormat="1" ht="17.25" customHeight="1" x14ac:dyDescent="0.2">
      <c r="A122" s="131"/>
      <c r="B122" s="104" t="s">
        <v>89</v>
      </c>
      <c r="C122" s="105">
        <v>203</v>
      </c>
      <c r="D122" s="106">
        <f>+C122/$O$129*100000</f>
        <v>438.75764583828646</v>
      </c>
      <c r="E122" s="107">
        <v>114</v>
      </c>
      <c r="F122" s="106">
        <f>+E122/$P$129*100000</f>
        <v>507.2076882007475</v>
      </c>
      <c r="G122" s="107">
        <v>89</v>
      </c>
      <c r="H122" s="108">
        <f>+G122/$Q$129*100000</f>
        <v>374.0910428313228</v>
      </c>
      <c r="I122" s="41">
        <v>196</v>
      </c>
      <c r="J122" s="38">
        <f>I122/$S$123*100000</f>
        <v>414.01744787816057</v>
      </c>
      <c r="K122" s="42">
        <v>115</v>
      </c>
      <c r="L122" s="38">
        <f>K122/$S$124*100000</f>
        <v>499.60900165088196</v>
      </c>
      <c r="M122" s="42">
        <v>81</v>
      </c>
      <c r="N122" s="43">
        <f>M122/$S$125*100000</f>
        <v>333.01813098713149</v>
      </c>
      <c r="O122" s="145"/>
      <c r="P122" s="46"/>
      <c r="Q122" s="46"/>
    </row>
    <row r="123" spans="1:20" ht="17.25" customHeight="1" x14ac:dyDescent="0.25">
      <c r="A123" s="136"/>
      <c r="B123" s="2" t="s">
        <v>11</v>
      </c>
      <c r="C123" s="69" t="s">
        <v>12</v>
      </c>
      <c r="D123" s="70" t="s">
        <v>12</v>
      </c>
      <c r="E123" s="71" t="s">
        <v>12</v>
      </c>
      <c r="F123" s="70" t="s">
        <v>12</v>
      </c>
      <c r="G123" s="71" t="s">
        <v>12</v>
      </c>
      <c r="H123" s="72" t="s">
        <v>12</v>
      </c>
      <c r="I123" s="30">
        <v>50</v>
      </c>
      <c r="J123" s="31">
        <f t="shared" ref="J123:J127" si="58">I123/$S$123*100000</f>
        <v>105.61669588728586</v>
      </c>
      <c r="K123" s="32">
        <v>42</v>
      </c>
      <c r="L123" s="31">
        <f t="shared" ref="L123:L127" si="59">K123/$S$124*100000</f>
        <v>182.4658962551047</v>
      </c>
      <c r="M123" s="32">
        <v>8</v>
      </c>
      <c r="N123" s="33">
        <f t="shared" ref="N123:N127" si="60">M123/$S$125*100000</f>
        <v>32.890679603667309</v>
      </c>
      <c r="O123" s="61"/>
      <c r="R123" s="2" t="s">
        <v>90</v>
      </c>
      <c r="S123" s="2">
        <v>47341</v>
      </c>
    </row>
    <row r="124" spans="1:20" ht="17.25" customHeight="1" x14ac:dyDescent="0.25">
      <c r="A124" s="136"/>
      <c r="B124" s="68" t="s">
        <v>91</v>
      </c>
      <c r="C124" s="69">
        <v>25</v>
      </c>
      <c r="D124" s="70">
        <f>+C124/$O$129*100000</f>
        <v>54.034192837227401</v>
      </c>
      <c r="E124" s="71">
        <v>15</v>
      </c>
      <c r="F124" s="70">
        <f>+E124/$P$129*100000</f>
        <v>66.737853710624663</v>
      </c>
      <c r="G124" s="71">
        <v>10</v>
      </c>
      <c r="H124" s="72">
        <f>+G124/$Q$129*100000</f>
        <v>42.032701441721656</v>
      </c>
      <c r="I124" s="30">
        <v>16</v>
      </c>
      <c r="J124" s="31">
        <f t="shared" si="58"/>
        <v>33.797342683931475</v>
      </c>
      <c r="K124" s="32">
        <v>7</v>
      </c>
      <c r="L124" s="31">
        <f t="shared" si="59"/>
        <v>30.410982709184118</v>
      </c>
      <c r="M124" s="32">
        <v>9</v>
      </c>
      <c r="N124" s="33">
        <f t="shared" si="60"/>
        <v>37.002014554125722</v>
      </c>
      <c r="O124" s="61"/>
      <c r="S124" s="2">
        <v>23018</v>
      </c>
    </row>
    <row r="125" spans="1:20" ht="17.25" customHeight="1" x14ac:dyDescent="0.25">
      <c r="A125" s="136"/>
      <c r="B125" s="68" t="s">
        <v>92</v>
      </c>
      <c r="C125" s="69">
        <v>17</v>
      </c>
      <c r="D125" s="70">
        <f>+C125/$O$129*100000</f>
        <v>36.743251129314629</v>
      </c>
      <c r="E125" s="71">
        <v>6</v>
      </c>
      <c r="F125" s="70">
        <f>+E125/$P$129*100000</f>
        <v>26.695141484249866</v>
      </c>
      <c r="G125" s="71">
        <v>11</v>
      </c>
      <c r="H125" s="72">
        <f>+G125/$Q$129*100000</f>
        <v>46.235971585893822</v>
      </c>
      <c r="I125" s="30">
        <v>16</v>
      </c>
      <c r="J125" s="31">
        <f t="shared" si="58"/>
        <v>33.797342683931475</v>
      </c>
      <c r="K125" s="32">
        <v>7</v>
      </c>
      <c r="L125" s="31">
        <f t="shared" si="59"/>
        <v>30.410982709184118</v>
      </c>
      <c r="M125" s="32">
        <v>9</v>
      </c>
      <c r="N125" s="33">
        <f t="shared" si="60"/>
        <v>37.002014554125722</v>
      </c>
      <c r="O125" s="61"/>
      <c r="S125" s="2">
        <v>24323</v>
      </c>
    </row>
    <row r="126" spans="1:20" ht="17.25" customHeight="1" x14ac:dyDescent="0.25">
      <c r="A126" s="136"/>
      <c r="B126" s="2" t="s">
        <v>93</v>
      </c>
      <c r="C126" s="69">
        <v>14</v>
      </c>
      <c r="D126" s="70">
        <f>+C126/$O$129*100000</f>
        <v>30.259147988847342</v>
      </c>
      <c r="E126" s="71">
        <v>5</v>
      </c>
      <c r="F126" s="70">
        <f>+E126/$P$129*100000</f>
        <v>22.245951236874888</v>
      </c>
      <c r="G126" s="71">
        <v>9</v>
      </c>
      <c r="H126" s="72">
        <f>+G126/$Q$129*100000</f>
        <v>37.829431297549498</v>
      </c>
      <c r="I126" s="30">
        <v>10</v>
      </c>
      <c r="J126" s="31">
        <f t="shared" si="58"/>
        <v>21.123339177457172</v>
      </c>
      <c r="K126" s="32">
        <v>4</v>
      </c>
      <c r="L126" s="31">
        <f t="shared" si="59"/>
        <v>17.377704405248068</v>
      </c>
      <c r="M126" s="32">
        <v>6</v>
      </c>
      <c r="N126" s="33">
        <f t="shared" si="60"/>
        <v>24.668009702750485</v>
      </c>
      <c r="O126" s="61"/>
    </row>
    <row r="127" spans="1:20" ht="17.25" customHeight="1" x14ac:dyDescent="0.25">
      <c r="A127" s="136"/>
      <c r="B127" s="2" t="s">
        <v>51</v>
      </c>
      <c r="C127" s="69" t="s">
        <v>12</v>
      </c>
      <c r="D127" s="70" t="s">
        <v>12</v>
      </c>
      <c r="E127" s="71" t="s">
        <v>12</v>
      </c>
      <c r="F127" s="70" t="s">
        <v>12</v>
      </c>
      <c r="G127" s="71" t="s">
        <v>12</v>
      </c>
      <c r="H127" s="72" t="s">
        <v>12</v>
      </c>
      <c r="I127" s="30">
        <v>8</v>
      </c>
      <c r="J127" s="31">
        <f t="shared" si="58"/>
        <v>16.898671341965738</v>
      </c>
      <c r="K127" s="32">
        <v>2</v>
      </c>
      <c r="L127" s="31">
        <f t="shared" si="59"/>
        <v>8.6888522026240338</v>
      </c>
      <c r="M127" s="32">
        <v>6</v>
      </c>
      <c r="N127" s="33">
        <f t="shared" si="60"/>
        <v>24.668009702750485</v>
      </c>
      <c r="O127" s="61"/>
    </row>
    <row r="128" spans="1:20" ht="17.25" customHeight="1" x14ac:dyDescent="0.25">
      <c r="A128" s="136"/>
      <c r="B128" s="2" t="s">
        <v>48</v>
      </c>
      <c r="C128" s="30">
        <v>8</v>
      </c>
      <c r="D128" s="70">
        <f>+C128/$O$129*100000</f>
        <v>17.290941707912769</v>
      </c>
      <c r="E128" s="71">
        <v>7</v>
      </c>
      <c r="F128" s="70">
        <f>+E128/$P$129*100000</f>
        <v>31.144331731624842</v>
      </c>
      <c r="G128" s="71">
        <v>1</v>
      </c>
      <c r="H128" s="72">
        <f>+G128/$Q$129*100000</f>
        <v>4.2032701441721665</v>
      </c>
      <c r="I128" s="30" t="s">
        <v>12</v>
      </c>
      <c r="J128" s="31" t="s">
        <v>12</v>
      </c>
      <c r="K128" s="32" t="s">
        <v>12</v>
      </c>
      <c r="L128" s="31" t="s">
        <v>12</v>
      </c>
      <c r="M128" s="32" t="s">
        <v>12</v>
      </c>
      <c r="N128" s="33"/>
      <c r="O128" s="61"/>
    </row>
    <row r="129" spans="1:19" ht="17.25" customHeight="1" x14ac:dyDescent="0.25">
      <c r="A129" s="136"/>
      <c r="B129" s="2" t="s">
        <v>84</v>
      </c>
      <c r="C129" s="30">
        <v>7</v>
      </c>
      <c r="D129" s="70">
        <f>+C129/$O$129*100000</f>
        <v>15.129573994423671</v>
      </c>
      <c r="E129" s="32">
        <v>5</v>
      </c>
      <c r="F129" s="70">
        <f>+E129/$P$129*100000</f>
        <v>22.245951236874888</v>
      </c>
      <c r="G129" s="32">
        <v>2</v>
      </c>
      <c r="H129" s="72">
        <f>+G129/$Q$129*100000</f>
        <v>8.406540288344333</v>
      </c>
      <c r="I129" s="30" t="s">
        <v>12</v>
      </c>
      <c r="J129" s="31" t="s">
        <v>12</v>
      </c>
      <c r="K129" s="32" t="s">
        <v>12</v>
      </c>
      <c r="L129" s="31" t="s">
        <v>12</v>
      </c>
      <c r="M129" s="32" t="s">
        <v>12</v>
      </c>
      <c r="N129" s="33"/>
      <c r="O129" s="58">
        <v>46267</v>
      </c>
      <c r="P129" s="59">
        <v>22476</v>
      </c>
      <c r="Q129" s="3">
        <v>23791</v>
      </c>
    </row>
    <row r="130" spans="1:19" ht="17.25" customHeight="1" x14ac:dyDescent="0.25">
      <c r="A130" s="136"/>
      <c r="B130" s="2" t="s">
        <v>94</v>
      </c>
      <c r="C130" s="30">
        <v>132</v>
      </c>
      <c r="D130" s="70">
        <f>+C130/$O$129*100000</f>
        <v>285.30053818056069</v>
      </c>
      <c r="E130" s="32">
        <v>76</v>
      </c>
      <c r="F130" s="70">
        <f>+E130/$P$129*100000</f>
        <v>338.13845880049831</v>
      </c>
      <c r="G130" s="32">
        <v>56</v>
      </c>
      <c r="H130" s="72">
        <f>+G130/$Q$129*100000</f>
        <v>235.3831280736413</v>
      </c>
      <c r="I130" s="30">
        <v>96</v>
      </c>
      <c r="J130" s="31">
        <f t="shared" ref="J130" si="61">I130/$S$123*100000</f>
        <v>202.78405610358888</v>
      </c>
      <c r="K130" s="32">
        <v>53</v>
      </c>
      <c r="L130" s="31">
        <f t="shared" ref="L130" si="62">K130/$S$124*100000</f>
        <v>230.25458336953687</v>
      </c>
      <c r="M130" s="32">
        <v>43</v>
      </c>
      <c r="N130" s="33">
        <f t="shared" ref="N130" si="63">M130/$S$125*100000</f>
        <v>176.7874028697118</v>
      </c>
      <c r="O130" s="53"/>
      <c r="P130" s="54"/>
    </row>
    <row r="131" spans="1:19" s="35" customFormat="1" ht="17.25" customHeight="1" x14ac:dyDescent="0.2">
      <c r="A131" s="131"/>
      <c r="B131" s="104" t="s">
        <v>95</v>
      </c>
      <c r="C131" s="105">
        <v>764</v>
      </c>
      <c r="D131" s="106">
        <f t="shared" ref="D131:D136" si="64">+C131/$O$139*100000</f>
        <v>348.37803576802764</v>
      </c>
      <c r="E131" s="107">
        <v>434</v>
      </c>
      <c r="F131" s="106">
        <f t="shared" ref="F131:F136" si="65">+E131/$P$139*100000</f>
        <v>401.51725414006847</v>
      </c>
      <c r="G131" s="107">
        <v>330</v>
      </c>
      <c r="H131" s="108">
        <f t="shared" ref="H131:H136" si="66">+G131/$Q$139*100000</f>
        <v>296.73056864367157</v>
      </c>
      <c r="I131" s="41">
        <v>681</v>
      </c>
      <c r="J131" s="38">
        <f>I131/$S$132*100000</f>
        <v>302.90495189549114</v>
      </c>
      <c r="K131" s="42">
        <v>412</v>
      </c>
      <c r="L131" s="38">
        <f>K131/$S$133*100000</f>
        <v>371.66337401784347</v>
      </c>
      <c r="M131" s="42">
        <v>269</v>
      </c>
      <c r="N131" s="43">
        <f>M131/$S$134*100000</f>
        <v>236.02702465561111</v>
      </c>
      <c r="O131" s="55"/>
      <c r="P131" s="56"/>
      <c r="Q131" s="46"/>
    </row>
    <row r="132" spans="1:19" ht="17.25" customHeight="1" x14ac:dyDescent="0.25">
      <c r="A132" s="136"/>
      <c r="B132" s="68" t="s">
        <v>96</v>
      </c>
      <c r="C132" s="69">
        <v>40</v>
      </c>
      <c r="D132" s="70">
        <f t="shared" si="64"/>
        <v>18.23968773654595</v>
      </c>
      <c r="E132" s="71">
        <v>23</v>
      </c>
      <c r="F132" s="70">
        <f t="shared" si="65"/>
        <v>21.278564159496714</v>
      </c>
      <c r="G132" s="71">
        <v>17</v>
      </c>
      <c r="H132" s="72">
        <f t="shared" si="66"/>
        <v>15.286120202855807</v>
      </c>
      <c r="I132" s="30">
        <v>85</v>
      </c>
      <c r="J132" s="38">
        <f t="shared" ref="J132:J134" si="67">I132/$S$132*100000</f>
        <v>37.807519693269818</v>
      </c>
      <c r="K132" s="32">
        <v>55</v>
      </c>
      <c r="L132" s="38">
        <f t="shared" ref="L132:L134" si="68">K132/$S$133*100000</f>
        <v>49.61525624024609</v>
      </c>
      <c r="M132" s="32">
        <v>30</v>
      </c>
      <c r="N132" s="43">
        <f t="shared" ref="N132:N134" si="69">M132/$S$134*100000</f>
        <v>26.322716504343248</v>
      </c>
      <c r="O132" s="53"/>
      <c r="P132" s="54"/>
      <c r="R132" s="2" t="s">
        <v>97</v>
      </c>
      <c r="S132" s="2">
        <v>224823</v>
      </c>
    </row>
    <row r="133" spans="1:19" ht="17.25" customHeight="1" x14ac:dyDescent="0.25">
      <c r="A133" s="136"/>
      <c r="B133" s="2" t="s">
        <v>48</v>
      </c>
      <c r="C133" s="69">
        <v>60</v>
      </c>
      <c r="D133" s="70">
        <f t="shared" si="64"/>
        <v>27.359531604818926</v>
      </c>
      <c r="E133" s="71">
        <v>48</v>
      </c>
      <c r="F133" s="70">
        <f t="shared" si="65"/>
        <v>44.407438245906192</v>
      </c>
      <c r="G133" s="71">
        <v>12</v>
      </c>
      <c r="H133" s="72">
        <f t="shared" si="66"/>
        <v>10.79020249613351</v>
      </c>
      <c r="I133" s="30">
        <v>62</v>
      </c>
      <c r="J133" s="38">
        <f t="shared" si="67"/>
        <v>27.577249658620339</v>
      </c>
      <c r="K133" s="32">
        <v>43</v>
      </c>
      <c r="L133" s="38">
        <f t="shared" si="68"/>
        <v>38.790109424192401</v>
      </c>
      <c r="M133" s="32">
        <v>19</v>
      </c>
      <c r="N133" s="43">
        <f t="shared" si="69"/>
        <v>16.671053786084055</v>
      </c>
      <c r="O133" s="53"/>
      <c r="P133" s="54"/>
      <c r="S133" s="2">
        <v>110853</v>
      </c>
    </row>
    <row r="134" spans="1:19" ht="17.25" customHeight="1" x14ac:dyDescent="0.25">
      <c r="A134" s="136"/>
      <c r="B134" s="133" t="s">
        <v>23</v>
      </c>
      <c r="C134" s="69">
        <v>72</v>
      </c>
      <c r="D134" s="70">
        <f t="shared" si="64"/>
        <v>32.831437925782708</v>
      </c>
      <c r="E134" s="71">
        <v>53</v>
      </c>
      <c r="F134" s="70">
        <f t="shared" si="65"/>
        <v>49.033213063188086</v>
      </c>
      <c r="G134" s="71">
        <v>19</v>
      </c>
      <c r="H134" s="72">
        <f t="shared" si="66"/>
        <v>17.084487285544725</v>
      </c>
      <c r="I134" s="30">
        <v>53</v>
      </c>
      <c r="J134" s="38">
        <f t="shared" si="67"/>
        <v>23.574100514627062</v>
      </c>
      <c r="K134" s="32">
        <v>42</v>
      </c>
      <c r="L134" s="38">
        <f t="shared" si="68"/>
        <v>37.888013856187925</v>
      </c>
      <c r="M134" s="32">
        <v>11</v>
      </c>
      <c r="N134" s="43">
        <f t="shared" si="69"/>
        <v>9.6516627182591908</v>
      </c>
      <c r="O134" s="53"/>
      <c r="P134" s="54"/>
      <c r="S134" s="2">
        <v>113970</v>
      </c>
    </row>
    <row r="135" spans="1:19" ht="17.25" customHeight="1" x14ac:dyDescent="0.25">
      <c r="A135" s="136"/>
      <c r="B135" s="133" t="s">
        <v>98</v>
      </c>
      <c r="C135" s="69">
        <v>41</v>
      </c>
      <c r="D135" s="70">
        <f t="shared" si="64"/>
        <v>18.695679929959599</v>
      </c>
      <c r="E135" s="71">
        <v>23</v>
      </c>
      <c r="F135" s="70">
        <f t="shared" si="65"/>
        <v>21.278564159496714</v>
      </c>
      <c r="G135" s="71">
        <v>18</v>
      </c>
      <c r="H135" s="72">
        <f t="shared" si="66"/>
        <v>16.185303744200269</v>
      </c>
      <c r="I135" s="30" t="s">
        <v>12</v>
      </c>
      <c r="J135" s="31" t="s">
        <v>12</v>
      </c>
      <c r="K135" s="32" t="s">
        <v>12</v>
      </c>
      <c r="L135" s="31" t="s">
        <v>12</v>
      </c>
      <c r="M135" s="32" t="s">
        <v>12</v>
      </c>
      <c r="N135" s="33" t="s">
        <v>12</v>
      </c>
      <c r="O135" s="53"/>
      <c r="P135" s="54"/>
    </row>
    <row r="136" spans="1:19" ht="17.25" customHeight="1" x14ac:dyDescent="0.25">
      <c r="B136" s="133" t="s">
        <v>99</v>
      </c>
      <c r="C136" s="69">
        <v>36</v>
      </c>
      <c r="D136" s="70">
        <f t="shared" si="64"/>
        <v>16.415718962891354</v>
      </c>
      <c r="E136" s="71">
        <v>24</v>
      </c>
      <c r="F136" s="70">
        <f t="shared" si="65"/>
        <v>22.203719122953096</v>
      </c>
      <c r="G136" s="71">
        <v>12</v>
      </c>
      <c r="H136" s="72">
        <f t="shared" si="66"/>
        <v>10.79020249613351</v>
      </c>
      <c r="I136" s="30" t="s">
        <v>12</v>
      </c>
      <c r="J136" s="31" t="s">
        <v>12</v>
      </c>
      <c r="K136" s="32" t="s">
        <v>12</v>
      </c>
      <c r="L136" s="31" t="s">
        <v>12</v>
      </c>
      <c r="M136" s="32" t="s">
        <v>12</v>
      </c>
      <c r="N136" s="33" t="s">
        <v>12</v>
      </c>
      <c r="O136" s="53"/>
      <c r="P136" s="54"/>
    </row>
    <row r="137" spans="1:19" ht="17.25" customHeight="1" x14ac:dyDescent="0.25">
      <c r="B137" s="135" t="s">
        <v>100</v>
      </c>
      <c r="C137" s="69" t="s">
        <v>12</v>
      </c>
      <c r="D137" s="70" t="s">
        <v>12</v>
      </c>
      <c r="E137" s="71" t="s">
        <v>12</v>
      </c>
      <c r="F137" s="70" t="s">
        <v>12</v>
      </c>
      <c r="G137" s="71" t="s">
        <v>12</v>
      </c>
      <c r="H137" s="72" t="s">
        <v>12</v>
      </c>
      <c r="I137" s="30">
        <v>37</v>
      </c>
      <c r="J137" s="38">
        <f t="shared" ref="J137:J139" si="70">I137/$S$132*100000</f>
        <v>16.457390925305685</v>
      </c>
      <c r="K137" s="32">
        <v>15</v>
      </c>
      <c r="L137" s="38">
        <f t="shared" ref="L137:L139" si="71">K137/$S$133*100000</f>
        <v>13.531433520067116</v>
      </c>
      <c r="M137" s="32">
        <v>22</v>
      </c>
      <c r="N137" s="43">
        <f t="shared" ref="N137:N139" si="72">M137/$S$134*100000</f>
        <v>19.303325436518382</v>
      </c>
      <c r="O137" s="53"/>
      <c r="P137" s="54"/>
    </row>
    <row r="138" spans="1:19" ht="17.25" customHeight="1" x14ac:dyDescent="0.25">
      <c r="B138" s="135" t="s">
        <v>11</v>
      </c>
      <c r="C138" s="30" t="s">
        <v>12</v>
      </c>
      <c r="D138" s="32" t="s">
        <v>12</v>
      </c>
      <c r="E138" s="32" t="s">
        <v>12</v>
      </c>
      <c r="F138" s="32" t="s">
        <v>12</v>
      </c>
      <c r="G138" s="32" t="s">
        <v>12</v>
      </c>
      <c r="H138" s="57" t="s">
        <v>12</v>
      </c>
      <c r="I138" s="30">
        <v>41</v>
      </c>
      <c r="J138" s="38">
        <f t="shared" si="70"/>
        <v>18.236568322636028</v>
      </c>
      <c r="K138" s="32">
        <v>29</v>
      </c>
      <c r="L138" s="38">
        <f t="shared" si="71"/>
        <v>26.160771472129756</v>
      </c>
      <c r="M138" s="32">
        <v>12</v>
      </c>
      <c r="N138" s="43">
        <f t="shared" si="72"/>
        <v>10.529086601737299</v>
      </c>
      <c r="O138" s="53"/>
      <c r="P138" s="54"/>
    </row>
    <row r="139" spans="1:19" ht="17.25" customHeight="1" thickBot="1" x14ac:dyDescent="0.3">
      <c r="A139" s="74"/>
      <c r="B139" s="146" t="s">
        <v>101</v>
      </c>
      <c r="C139" s="147">
        <v>515</v>
      </c>
      <c r="D139" s="148">
        <f>+C139/$O$139*100000</f>
        <v>234.83597960802911</v>
      </c>
      <c r="E139" s="149">
        <v>263</v>
      </c>
      <c r="F139" s="148">
        <f>+E139/$P$139*100000</f>
        <v>243.31575538902766</v>
      </c>
      <c r="G139" s="149">
        <v>252</v>
      </c>
      <c r="H139" s="150">
        <f>+G139/$Q$139*100000</f>
        <v>226.59425241880371</v>
      </c>
      <c r="I139" s="114">
        <v>403</v>
      </c>
      <c r="J139" s="151">
        <f t="shared" si="70"/>
        <v>179.2521227810322</v>
      </c>
      <c r="K139" s="81">
        <v>228</v>
      </c>
      <c r="L139" s="151">
        <f t="shared" si="71"/>
        <v>205.67778950502014</v>
      </c>
      <c r="M139" s="81">
        <v>175</v>
      </c>
      <c r="N139" s="152">
        <f t="shared" si="72"/>
        <v>153.54917960866896</v>
      </c>
      <c r="O139" s="58">
        <v>219302</v>
      </c>
      <c r="P139" s="59">
        <v>108090</v>
      </c>
      <c r="Q139" s="3">
        <v>111212</v>
      </c>
    </row>
    <row r="140" spans="1:19" ht="17.25" customHeight="1" thickTop="1" x14ac:dyDescent="0.25">
      <c r="A140" s="136" t="s">
        <v>102</v>
      </c>
      <c r="C140" s="73"/>
      <c r="D140" s="73"/>
      <c r="E140" s="73"/>
      <c r="F140" s="73"/>
      <c r="G140" s="73"/>
      <c r="H140" s="73"/>
      <c r="O140" s="84"/>
      <c r="P140" s="84"/>
      <c r="Q140" s="85"/>
    </row>
    <row r="141" spans="1:19" ht="17.25" customHeight="1" x14ac:dyDescent="0.25">
      <c r="A141" s="136" t="s">
        <v>103</v>
      </c>
      <c r="C141" s="73"/>
      <c r="D141" s="73"/>
      <c r="E141" s="73"/>
      <c r="F141" s="73"/>
      <c r="G141" s="73"/>
      <c r="H141" s="73"/>
      <c r="O141" s="73"/>
      <c r="P141" s="73"/>
      <c r="Q141" s="2"/>
    </row>
    <row r="142" spans="1:19" ht="17.25" customHeight="1" x14ac:dyDescent="0.25">
      <c r="A142" s="154" t="s">
        <v>104</v>
      </c>
      <c r="C142" s="73"/>
      <c r="D142" s="73"/>
      <c r="E142" s="73"/>
      <c r="F142" s="73"/>
      <c r="G142" s="73"/>
      <c r="H142" s="73"/>
      <c r="O142" s="73"/>
      <c r="P142" s="73"/>
      <c r="Q142" s="2"/>
    </row>
    <row r="143" spans="1:19" ht="17.25" customHeight="1" x14ac:dyDescent="0.25">
      <c r="A143" s="136" t="s">
        <v>105</v>
      </c>
      <c r="C143" s="73"/>
      <c r="D143" s="73"/>
      <c r="E143" s="73"/>
      <c r="F143" s="73"/>
      <c r="G143" s="73"/>
      <c r="H143" s="73"/>
      <c r="O143" s="73"/>
      <c r="P143" s="73"/>
      <c r="Q143" s="2"/>
    </row>
    <row r="144" spans="1:19" ht="17.25" customHeight="1" x14ac:dyDescent="0.25">
      <c r="C144" s="73"/>
      <c r="D144" s="73"/>
      <c r="E144" s="73"/>
      <c r="F144" s="73"/>
      <c r="G144" s="73"/>
      <c r="H144" s="73"/>
      <c r="O144" s="155"/>
      <c r="P144" s="156"/>
      <c r="Q144" s="157"/>
    </row>
  </sheetData>
  <mergeCells count="42">
    <mergeCell ref="I92:J93"/>
    <mergeCell ref="K92:N92"/>
    <mergeCell ref="E93:F93"/>
    <mergeCell ref="G93:H93"/>
    <mergeCell ref="K93:L93"/>
    <mergeCell ref="M93:N93"/>
    <mergeCell ref="K54:L54"/>
    <mergeCell ref="M54:N54"/>
    <mergeCell ref="A88:N88"/>
    <mergeCell ref="A89:N89"/>
    <mergeCell ref="A90:N90"/>
    <mergeCell ref="A91:B94"/>
    <mergeCell ref="C91:H91"/>
    <mergeCell ref="I91:N91"/>
    <mergeCell ref="C92:D93"/>
    <mergeCell ref="E92:H92"/>
    <mergeCell ref="A51:N51"/>
    <mergeCell ref="A52:B55"/>
    <mergeCell ref="C52:H52"/>
    <mergeCell ref="I52:N52"/>
    <mergeCell ref="C53:D54"/>
    <mergeCell ref="E53:H53"/>
    <mergeCell ref="I53:J54"/>
    <mergeCell ref="K53:N53"/>
    <mergeCell ref="E54:F54"/>
    <mergeCell ref="G54:H54"/>
    <mergeCell ref="G5:H5"/>
    <mergeCell ref="K5:L5"/>
    <mergeCell ref="M5:N5"/>
    <mergeCell ref="O7:Q7"/>
    <mergeCell ref="A49:N49"/>
    <mergeCell ref="A50:N50"/>
    <mergeCell ref="A1:N1"/>
    <mergeCell ref="A2:N2"/>
    <mergeCell ref="A3:B6"/>
    <mergeCell ref="C3:H3"/>
    <mergeCell ref="I3:N3"/>
    <mergeCell ref="C4:D5"/>
    <mergeCell ref="E4:H4"/>
    <mergeCell ref="I4:J5"/>
    <mergeCell ref="K4:N4"/>
    <mergeCell ref="E5:F5"/>
  </mergeCells>
  <printOptions horizontalCentered="1"/>
  <pageMargins left="0.39370078740157483" right="0.39370078740157483" top="1.0629921259842521" bottom="0.98425196850393704" header="0.23622047244094491" footer="0.51181102362204722"/>
  <pageSetup scale="49" orientation="landscape" r:id="rId1"/>
  <headerFooter alignWithMargins="0"/>
  <rowBreaks count="2" manualBreakCount="2">
    <brk id="48" max="13" man="1"/>
    <brk id="8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C09</vt:lpstr>
      <vt:lpstr>'C09'!Área_de_impresión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Aguilar</dc:creator>
  <cp:lastModifiedBy>Marisol Aguilar</cp:lastModifiedBy>
  <dcterms:created xsi:type="dcterms:W3CDTF">2022-10-18T14:57:35Z</dcterms:created>
  <dcterms:modified xsi:type="dcterms:W3CDTF">2022-10-18T14:58:20Z</dcterms:modified>
</cp:coreProperties>
</file>