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C53FC277-B961-4167-B8A7-E8AC3E79B1C9}" xr6:coauthVersionLast="44" xr6:coauthVersionMax="44" xr10:uidLastSave="{00000000-0000-0000-0000-000000000000}"/>
  <bookViews>
    <workbookView xWindow="0" yWindow="600" windowWidth="24000" windowHeight="12900" xr2:uid="{01EA43BC-9DD2-41AD-BC46-2A87BF4CA3E7}"/>
  </bookViews>
  <sheets>
    <sheet name="C3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'C34'!$A$7:$F$126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'C34'!$A$1:$G$124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[5]C39!$A$7:$E$111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Títulos_a_imprimir_IM" localSheetId="0">'C34'!$1:$6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8" i="1" l="1"/>
  <c r="F118" i="1"/>
  <c r="D118" i="1"/>
  <c r="B118" i="1"/>
  <c r="F117" i="1"/>
  <c r="D117" i="1"/>
  <c r="B117" i="1"/>
  <c r="G117" i="1" s="1"/>
  <c r="G116" i="1"/>
  <c r="F116" i="1"/>
  <c r="D116" i="1"/>
  <c r="B116" i="1"/>
  <c r="F115" i="1"/>
  <c r="D115" i="1"/>
  <c r="B115" i="1"/>
  <c r="G115" i="1" s="1"/>
  <c r="F114" i="1"/>
  <c r="E114" i="1"/>
  <c r="C114" i="1"/>
  <c r="D114" i="1" s="1"/>
  <c r="B114" i="1"/>
  <c r="G114" i="1" s="1"/>
  <c r="L113" i="1"/>
  <c r="E113" i="1"/>
  <c r="D112" i="1"/>
  <c r="D111" i="1"/>
  <c r="G110" i="1"/>
  <c r="F110" i="1"/>
  <c r="D110" i="1"/>
  <c r="B110" i="1"/>
  <c r="F109" i="1"/>
  <c r="D109" i="1"/>
  <c r="B109" i="1"/>
  <c r="G109" i="1" s="1"/>
  <c r="G108" i="1"/>
  <c r="F108" i="1"/>
  <c r="D108" i="1"/>
  <c r="B108" i="1"/>
  <c r="F107" i="1"/>
  <c r="D107" i="1"/>
  <c r="B107" i="1"/>
  <c r="G107" i="1" s="1"/>
  <c r="G106" i="1"/>
  <c r="F106" i="1"/>
  <c r="D106" i="1"/>
  <c r="B106" i="1"/>
  <c r="F105" i="1"/>
  <c r="D105" i="1"/>
  <c r="B105" i="1"/>
  <c r="B103" i="1" s="1"/>
  <c r="G103" i="1" s="1"/>
  <c r="G104" i="1"/>
  <c r="F104" i="1"/>
  <c r="D104" i="1"/>
  <c r="B104" i="1"/>
  <c r="L103" i="1"/>
  <c r="E103" i="1"/>
  <c r="F103" i="1" s="1"/>
  <c r="D103" i="1"/>
  <c r="C103" i="1"/>
  <c r="F102" i="1"/>
  <c r="D102" i="1"/>
  <c r="B102" i="1"/>
  <c r="G102" i="1" s="1"/>
  <c r="G101" i="1"/>
  <c r="F101" i="1"/>
  <c r="D101" i="1"/>
  <c r="B101" i="1"/>
  <c r="F100" i="1"/>
  <c r="D100" i="1"/>
  <c r="B100" i="1"/>
  <c r="G100" i="1" s="1"/>
  <c r="G99" i="1"/>
  <c r="F99" i="1"/>
  <c r="D99" i="1"/>
  <c r="B99" i="1"/>
  <c r="F91" i="1"/>
  <c r="D91" i="1"/>
  <c r="B91" i="1"/>
  <c r="G91" i="1" s="1"/>
  <c r="G90" i="1"/>
  <c r="F90" i="1"/>
  <c r="D90" i="1"/>
  <c r="B90" i="1"/>
  <c r="F89" i="1"/>
  <c r="D89" i="1"/>
  <c r="B89" i="1"/>
  <c r="G89" i="1" s="1"/>
  <c r="G88" i="1"/>
  <c r="F88" i="1"/>
  <c r="D88" i="1"/>
  <c r="B88" i="1"/>
  <c r="F87" i="1"/>
  <c r="D87" i="1"/>
  <c r="B87" i="1"/>
  <c r="G87" i="1" s="1"/>
  <c r="G86" i="1"/>
  <c r="F86" i="1"/>
  <c r="D86" i="1"/>
  <c r="B86" i="1"/>
  <c r="F85" i="1"/>
  <c r="D85" i="1"/>
  <c r="B85" i="1"/>
  <c r="G85" i="1" s="1"/>
  <c r="G84" i="1"/>
  <c r="F84" i="1"/>
  <c r="D84" i="1"/>
  <c r="B84" i="1"/>
  <c r="F83" i="1"/>
  <c r="D83" i="1"/>
  <c r="B83" i="1"/>
  <c r="G83" i="1" s="1"/>
  <c r="L82" i="1"/>
  <c r="E82" i="1"/>
  <c r="F82" i="1" s="1"/>
  <c r="C82" i="1"/>
  <c r="D82" i="1" s="1"/>
  <c r="G81" i="1"/>
  <c r="F81" i="1"/>
  <c r="D81" i="1"/>
  <c r="B81" i="1"/>
  <c r="G80" i="1"/>
  <c r="F80" i="1"/>
  <c r="D80" i="1"/>
  <c r="B80" i="1"/>
  <c r="G79" i="1"/>
  <c r="F79" i="1"/>
  <c r="D79" i="1"/>
  <c r="B79" i="1"/>
  <c r="G78" i="1"/>
  <c r="F78" i="1"/>
  <c r="D78" i="1"/>
  <c r="B78" i="1"/>
  <c r="G77" i="1"/>
  <c r="F77" i="1"/>
  <c r="D77" i="1"/>
  <c r="B77" i="1"/>
  <c r="G76" i="1"/>
  <c r="F76" i="1"/>
  <c r="D76" i="1"/>
  <c r="B76" i="1"/>
  <c r="G75" i="1"/>
  <c r="F75" i="1"/>
  <c r="D75" i="1"/>
  <c r="B75" i="1"/>
  <c r="J74" i="1"/>
  <c r="I74" i="1"/>
  <c r="C74" i="1"/>
  <c r="F74" i="1" s="1"/>
  <c r="B74" i="1"/>
  <c r="G74" i="1" s="1"/>
  <c r="G73" i="1"/>
  <c r="F73" i="1"/>
  <c r="D73" i="1"/>
  <c r="B73" i="1"/>
  <c r="F72" i="1"/>
  <c r="D72" i="1"/>
  <c r="B72" i="1"/>
  <c r="B70" i="1" s="1"/>
  <c r="G70" i="1" s="1"/>
  <c r="G71" i="1"/>
  <c r="F71" i="1"/>
  <c r="D71" i="1"/>
  <c r="B71" i="1"/>
  <c r="C70" i="1"/>
  <c r="F70" i="1" s="1"/>
  <c r="G69" i="1"/>
  <c r="F69" i="1"/>
  <c r="D69" i="1"/>
  <c r="B69" i="1"/>
  <c r="G68" i="1"/>
  <c r="F68" i="1"/>
  <c r="D68" i="1"/>
  <c r="B68" i="1"/>
  <c r="G67" i="1"/>
  <c r="F67" i="1"/>
  <c r="D67" i="1"/>
  <c r="B67" i="1"/>
  <c r="G66" i="1"/>
  <c r="F66" i="1"/>
  <c r="D66" i="1"/>
  <c r="B66" i="1"/>
  <c r="G65" i="1"/>
  <c r="F65" i="1"/>
  <c r="D65" i="1"/>
  <c r="B65" i="1"/>
  <c r="G64" i="1"/>
  <c r="F64" i="1"/>
  <c r="D64" i="1"/>
  <c r="B64" i="1"/>
  <c r="G63" i="1"/>
  <c r="F63" i="1"/>
  <c r="D63" i="1"/>
  <c r="B63" i="1"/>
  <c r="B62" i="1" s="1"/>
  <c r="G62" i="1" s="1"/>
  <c r="L62" i="1"/>
  <c r="F62" i="1"/>
  <c r="E62" i="1"/>
  <c r="D62" i="1"/>
  <c r="C62" i="1"/>
  <c r="F61" i="1"/>
  <c r="D61" i="1"/>
  <c r="B61" i="1"/>
  <c r="G61" i="1" s="1"/>
  <c r="G60" i="1"/>
  <c r="F60" i="1"/>
  <c r="D60" i="1"/>
  <c r="B60" i="1"/>
  <c r="F59" i="1"/>
  <c r="D59" i="1"/>
  <c r="B59" i="1"/>
  <c r="G59" i="1" s="1"/>
  <c r="G58" i="1"/>
  <c r="F58" i="1"/>
  <c r="D58" i="1"/>
  <c r="B58" i="1"/>
  <c r="F57" i="1"/>
  <c r="D57" i="1"/>
  <c r="B57" i="1"/>
  <c r="G57" i="1" s="1"/>
  <c r="G56" i="1"/>
  <c r="F56" i="1"/>
  <c r="D56" i="1"/>
  <c r="B56" i="1"/>
  <c r="F55" i="1"/>
  <c r="D55" i="1"/>
  <c r="B55" i="1"/>
  <c r="G55" i="1" s="1"/>
  <c r="L54" i="1"/>
  <c r="E54" i="1"/>
  <c r="C54" i="1"/>
  <c r="F54" i="1" s="1"/>
  <c r="D47" i="1"/>
  <c r="B47" i="1"/>
  <c r="G46" i="1"/>
  <c r="F46" i="1"/>
  <c r="D46" i="1"/>
  <c r="B46" i="1"/>
  <c r="G45" i="1"/>
  <c r="F45" i="1"/>
  <c r="D45" i="1"/>
  <c r="C45" i="1"/>
  <c r="B45" i="1"/>
  <c r="F44" i="1"/>
  <c r="D44" i="1"/>
  <c r="B44" i="1"/>
  <c r="G44" i="1" s="1"/>
  <c r="G43" i="1"/>
  <c r="F43" i="1"/>
  <c r="D43" i="1"/>
  <c r="B43" i="1"/>
  <c r="F42" i="1"/>
  <c r="D42" i="1"/>
  <c r="B42" i="1"/>
  <c r="G42" i="1" s="1"/>
  <c r="F41" i="1"/>
  <c r="E41" i="1"/>
  <c r="D41" i="1"/>
  <c r="C41" i="1"/>
  <c r="L40" i="1"/>
  <c r="E40" i="1"/>
  <c r="F40" i="1" s="1"/>
  <c r="C40" i="1"/>
  <c r="D40" i="1" s="1"/>
  <c r="F39" i="1"/>
  <c r="D39" i="1"/>
  <c r="B39" i="1"/>
  <c r="G39" i="1" s="1"/>
  <c r="G38" i="1"/>
  <c r="F38" i="1"/>
  <c r="D38" i="1"/>
  <c r="B38" i="1"/>
  <c r="F37" i="1"/>
  <c r="D37" i="1"/>
  <c r="B37" i="1"/>
  <c r="G37" i="1" s="1"/>
  <c r="G36" i="1"/>
  <c r="F36" i="1"/>
  <c r="D36" i="1"/>
  <c r="B36" i="1"/>
  <c r="F35" i="1"/>
  <c r="D35" i="1"/>
  <c r="B35" i="1"/>
  <c r="G35" i="1" s="1"/>
  <c r="G34" i="1"/>
  <c r="F34" i="1"/>
  <c r="D34" i="1"/>
  <c r="B34" i="1"/>
  <c r="F33" i="1"/>
  <c r="D33" i="1"/>
  <c r="B33" i="1"/>
  <c r="G33" i="1" s="1"/>
  <c r="G32" i="1"/>
  <c r="F32" i="1"/>
  <c r="D32" i="1"/>
  <c r="B32" i="1"/>
  <c r="F31" i="1"/>
  <c r="D31" i="1"/>
  <c r="B31" i="1"/>
  <c r="G31" i="1" s="1"/>
  <c r="G30" i="1"/>
  <c r="F30" i="1"/>
  <c r="D30" i="1"/>
  <c r="B30" i="1"/>
  <c r="F29" i="1"/>
  <c r="D29" i="1"/>
  <c r="B29" i="1"/>
  <c r="G29" i="1" s="1"/>
  <c r="G28" i="1"/>
  <c r="F28" i="1"/>
  <c r="D28" i="1"/>
  <c r="B28" i="1"/>
  <c r="F27" i="1"/>
  <c r="D27" i="1"/>
  <c r="B27" i="1"/>
  <c r="B26" i="1" s="1"/>
  <c r="G26" i="1" s="1"/>
  <c r="M26" i="1"/>
  <c r="F26" i="1"/>
  <c r="E26" i="1"/>
  <c r="C26" i="1"/>
  <c r="D26" i="1" s="1"/>
  <c r="G25" i="1"/>
  <c r="F25" i="1"/>
  <c r="D25" i="1"/>
  <c r="B25" i="1"/>
  <c r="F24" i="1"/>
  <c r="D24" i="1"/>
  <c r="B24" i="1"/>
  <c r="G24" i="1" s="1"/>
  <c r="G23" i="1"/>
  <c r="F23" i="1"/>
  <c r="C23" i="1"/>
  <c r="D23" i="1" s="1"/>
  <c r="B23" i="1"/>
  <c r="F22" i="1"/>
  <c r="D22" i="1"/>
  <c r="B22" i="1"/>
  <c r="B20" i="1" s="1"/>
  <c r="G20" i="1" s="1"/>
  <c r="G21" i="1"/>
  <c r="F21" i="1"/>
  <c r="D21" i="1"/>
  <c r="B21" i="1"/>
  <c r="E20" i="1"/>
  <c r="F20" i="1" s="1"/>
  <c r="C20" i="1"/>
  <c r="D20" i="1" s="1"/>
  <c r="G19" i="1"/>
  <c r="F19" i="1"/>
  <c r="D19" i="1"/>
  <c r="B19" i="1"/>
  <c r="G18" i="1"/>
  <c r="F18" i="1"/>
  <c r="D18" i="1"/>
  <c r="B18" i="1"/>
  <c r="G17" i="1"/>
  <c r="F17" i="1"/>
  <c r="D17" i="1"/>
  <c r="B17" i="1"/>
  <c r="G16" i="1"/>
  <c r="F16" i="1"/>
  <c r="D16" i="1"/>
  <c r="B16" i="1"/>
  <c r="G15" i="1"/>
  <c r="F15" i="1"/>
  <c r="D15" i="1"/>
  <c r="B15" i="1"/>
  <c r="G14" i="1"/>
  <c r="F14" i="1"/>
  <c r="D14" i="1"/>
  <c r="B14" i="1"/>
  <c r="E13" i="1"/>
  <c r="F13" i="1" s="1"/>
  <c r="C13" i="1"/>
  <c r="D13" i="1" s="1"/>
  <c r="B13" i="1"/>
  <c r="G13" i="1" s="1"/>
  <c r="G12" i="1"/>
  <c r="F12" i="1"/>
  <c r="D12" i="1"/>
  <c r="B12" i="1"/>
  <c r="F11" i="1"/>
  <c r="D11" i="1"/>
  <c r="B11" i="1"/>
  <c r="B9" i="1" s="1"/>
  <c r="G10" i="1"/>
  <c r="F10" i="1"/>
  <c r="D10" i="1"/>
  <c r="B10" i="1"/>
  <c r="N9" i="1"/>
  <c r="E9" i="1"/>
  <c r="E7" i="1" s="1"/>
  <c r="D9" i="1"/>
  <c r="C9" i="1"/>
  <c r="N7" i="1"/>
  <c r="M7" i="1"/>
  <c r="N6" i="1"/>
  <c r="M6" i="1"/>
  <c r="G9" i="1" l="1"/>
  <c r="D54" i="1"/>
  <c r="G72" i="1"/>
  <c r="B82" i="1"/>
  <c r="G82" i="1" s="1"/>
  <c r="B113" i="1"/>
  <c r="G11" i="1"/>
  <c r="G22" i="1"/>
  <c r="G27" i="1"/>
  <c r="B41" i="1"/>
  <c r="G105" i="1"/>
  <c r="C113" i="1"/>
  <c r="D113" i="1" s="1"/>
  <c r="B54" i="1"/>
  <c r="G54" i="1" s="1"/>
  <c r="D70" i="1"/>
  <c r="D74" i="1"/>
  <c r="F9" i="1"/>
  <c r="C7" i="1" l="1"/>
  <c r="B40" i="1"/>
  <c r="G41" i="1"/>
  <c r="F113" i="1"/>
  <c r="G113" i="1"/>
  <c r="D7" i="1" l="1"/>
  <c r="F7" i="1"/>
  <c r="G40" i="1"/>
  <c r="B7" i="1"/>
  <c r="G7" i="1" l="1"/>
  <c r="K7" i="1"/>
  <c r="I7" i="1"/>
</calcChain>
</file>

<file path=xl/sharedStrings.xml><?xml version="1.0" encoding="utf-8"?>
<sst xmlns="http://schemas.openxmlformats.org/spreadsheetml/2006/main" count="171" uniqueCount="120">
  <si>
    <t xml:space="preserve">Cuadro 34.  INDICADORES DE SALUD BUCAL EN EL MINISTERIO DE SALUD DE LA REPÙBLICA </t>
  </si>
  <si>
    <t>DE PANAMÁ, SEGÚN PROVINCIA, DISTRITO Y COMARCA INDÍGENA: AÑO 2019</t>
  </si>
  <si>
    <t>Provincia / Distrito y Comarca</t>
  </si>
  <si>
    <t>Total de Consultas</t>
  </si>
  <si>
    <t>Coberturas de Atención</t>
  </si>
  <si>
    <t>Porcentaje de Impacto</t>
  </si>
  <si>
    <t>Concentración (2)</t>
  </si>
  <si>
    <t>Nº de pacientes Terminados</t>
  </si>
  <si>
    <t>Porcentaje</t>
  </si>
  <si>
    <t>1ra. Consulta</t>
  </si>
  <si>
    <t>Cobertura (1)</t>
  </si>
  <si>
    <t>T.Consultas</t>
  </si>
  <si>
    <t>Pob.</t>
  </si>
  <si>
    <t>Total</t>
  </si>
  <si>
    <t>Bocas del Toro……………..</t>
  </si>
  <si>
    <t xml:space="preserve">     Bocas del Toro…………..</t>
  </si>
  <si>
    <t xml:space="preserve">     Changuinola………….....</t>
  </si>
  <si>
    <t xml:space="preserve">     Chiriquí Grande………...</t>
  </si>
  <si>
    <t xml:space="preserve">Coclé……………………….. </t>
  </si>
  <si>
    <t xml:space="preserve">     Aguadulce……………...</t>
  </si>
  <si>
    <t xml:space="preserve">     Antón…………………….</t>
  </si>
  <si>
    <t xml:space="preserve">     La Pintada……………....</t>
  </si>
  <si>
    <t xml:space="preserve">     Natá……………………...</t>
  </si>
  <si>
    <t xml:space="preserve">     Olá………………………</t>
  </si>
  <si>
    <t xml:space="preserve">     Penonomé……………….</t>
  </si>
  <si>
    <t xml:space="preserve">Colón……………………….. </t>
  </si>
  <si>
    <t xml:space="preserve">     Colón…………………….</t>
  </si>
  <si>
    <t xml:space="preserve">     Chagres………………….</t>
  </si>
  <si>
    <t xml:space="preserve">     Donoso………………....</t>
  </si>
  <si>
    <t xml:space="preserve">     Portobelo………………..</t>
  </si>
  <si>
    <t xml:space="preserve">     Santa Isabel……………..</t>
  </si>
  <si>
    <t>Chiriquí…………………….</t>
  </si>
  <si>
    <t xml:space="preserve">     Alanje……………………</t>
  </si>
  <si>
    <t xml:space="preserve">     Barú……………………</t>
  </si>
  <si>
    <t xml:space="preserve">     Boquerón………………...</t>
  </si>
  <si>
    <t xml:space="preserve">     Boquete……………….....</t>
  </si>
  <si>
    <t xml:space="preserve">     Bugaba…………………...</t>
  </si>
  <si>
    <t xml:space="preserve">     David…………………....</t>
  </si>
  <si>
    <t xml:space="preserve">     Dolega…………………..</t>
  </si>
  <si>
    <t xml:space="preserve">     Gualaca………………….</t>
  </si>
  <si>
    <t xml:space="preserve">     Remedios………………..</t>
  </si>
  <si>
    <t xml:space="preserve">     Renacimiento…………….</t>
  </si>
  <si>
    <t xml:space="preserve">     San Lorenzo…………......</t>
  </si>
  <si>
    <t xml:space="preserve">     Tolé……………………..</t>
  </si>
  <si>
    <t xml:space="preserve">     Tierras Altas…...............</t>
  </si>
  <si>
    <t>Darién……………………….</t>
  </si>
  <si>
    <t xml:space="preserve">   Darién……………………….</t>
  </si>
  <si>
    <t xml:space="preserve">     Chepigana………………..</t>
  </si>
  <si>
    <t xml:space="preserve">     Pinogana………………...</t>
  </si>
  <si>
    <t xml:space="preserve">     Santa Fé…........................</t>
  </si>
  <si>
    <t>Comarca Emberá………………..</t>
  </si>
  <si>
    <t xml:space="preserve">     Cemaco………………….</t>
  </si>
  <si>
    <t xml:space="preserve">     Sambu……………….......</t>
  </si>
  <si>
    <t>(Continuación)</t>
  </si>
  <si>
    <t>Herrera………………………….</t>
  </si>
  <si>
    <t xml:space="preserve">     Chitré…………………,,,,</t>
  </si>
  <si>
    <t xml:space="preserve">     Las Minas…………….........</t>
  </si>
  <si>
    <t xml:space="preserve">     Los Pozos……………….........</t>
  </si>
  <si>
    <t xml:space="preserve">     Ocú……………………..........</t>
  </si>
  <si>
    <t xml:space="preserve">     Parita…………………….......</t>
  </si>
  <si>
    <t xml:space="preserve">     Pesé……………………........</t>
  </si>
  <si>
    <t xml:space="preserve">     Santa María……………........</t>
  </si>
  <si>
    <t>Los Santos…………………..</t>
  </si>
  <si>
    <t xml:space="preserve">     Guararé…………………...</t>
  </si>
  <si>
    <t xml:space="preserve">     Las Tablas………………....</t>
  </si>
  <si>
    <t xml:space="preserve">     Los Santos……………….......</t>
  </si>
  <si>
    <t xml:space="preserve">     Macaracas………………...</t>
  </si>
  <si>
    <t xml:space="preserve">     Pedasí……………………..</t>
  </si>
  <si>
    <t xml:space="preserve">     Pocrí……………………......</t>
  </si>
  <si>
    <t xml:space="preserve">     Tonosí  ……………...............</t>
  </si>
  <si>
    <t>Panamá……………………..</t>
  </si>
  <si>
    <t xml:space="preserve">     Balboa………………...............</t>
  </si>
  <si>
    <t xml:space="preserve">     Chepo……………………....</t>
  </si>
  <si>
    <t xml:space="preserve">     Chiman…………………........</t>
  </si>
  <si>
    <t xml:space="preserve">     Panamá…………………............</t>
  </si>
  <si>
    <t xml:space="preserve">     San Miguelito...........................</t>
  </si>
  <si>
    <t xml:space="preserve">     Taboga………………............</t>
  </si>
  <si>
    <t>Panamá Este ………………………………….</t>
  </si>
  <si>
    <t xml:space="preserve">Panamá Oeste …………………….   </t>
  </si>
  <si>
    <t xml:space="preserve">Metropolitana ……………………….  </t>
  </si>
  <si>
    <t>Panamá Norte……………</t>
  </si>
  <si>
    <t>San Miguelito.............................</t>
  </si>
  <si>
    <t>Veraguas…………………</t>
  </si>
  <si>
    <t xml:space="preserve">     Atalaya………………….........</t>
  </si>
  <si>
    <t xml:space="preserve">     Calobre…………………......</t>
  </si>
  <si>
    <t xml:space="preserve">     Cañazas……………..........</t>
  </si>
  <si>
    <t xml:space="preserve">     La Mesa………………….....</t>
  </si>
  <si>
    <t xml:space="preserve">     Las Palmas……………….......</t>
  </si>
  <si>
    <t xml:space="preserve">     Mariato………………….......</t>
  </si>
  <si>
    <t xml:space="preserve">     Montijo…………………........</t>
  </si>
  <si>
    <t xml:space="preserve">     Río de  Jesús…………..........</t>
  </si>
  <si>
    <t xml:space="preserve">     San Francisco……………...</t>
  </si>
  <si>
    <t>(Conclusión)</t>
  </si>
  <si>
    <t xml:space="preserve">     Santa Fé…………………...</t>
  </si>
  <si>
    <t xml:space="preserve">     Santiago………………..........</t>
  </si>
  <si>
    <t xml:space="preserve">     Soná……………………......</t>
  </si>
  <si>
    <t>Comarca Kuna Yala………......</t>
  </si>
  <si>
    <t>Comarca NgobeBuglé……….</t>
  </si>
  <si>
    <t xml:space="preserve">    Besikó……………………......</t>
  </si>
  <si>
    <t xml:space="preserve">    Mironó (3)……………….</t>
  </si>
  <si>
    <t xml:space="preserve">    Muná……………………........</t>
  </si>
  <si>
    <t xml:space="preserve">    Nole Duima………………......</t>
  </si>
  <si>
    <t xml:space="preserve">    Nurum…………………...........</t>
  </si>
  <si>
    <t xml:space="preserve">    Kankintú………………..........</t>
  </si>
  <si>
    <t xml:space="preserve">    Kusapín………………….........</t>
  </si>
  <si>
    <t>Jirondai...................................</t>
  </si>
  <si>
    <t xml:space="preserve">    Santa Catalina.........................</t>
  </si>
  <si>
    <t>Panamá Oeste……………………..</t>
  </si>
  <si>
    <t xml:space="preserve">     Arraijan………………................</t>
  </si>
  <si>
    <t xml:space="preserve">     Capira…………………..........</t>
  </si>
  <si>
    <t xml:space="preserve">     Chame…………………..........</t>
  </si>
  <si>
    <t xml:space="preserve">     La Chorrera…………….........</t>
  </si>
  <si>
    <t xml:space="preserve">     San Carlos ……………...........</t>
  </si>
  <si>
    <t>NOTA: Los datos corresponden a Instalaciones del Ministerio de Salud.</t>
  </si>
  <si>
    <t>(1) Calculado en base a la estimación de población al 1º de julio del año 2019</t>
  </si>
  <si>
    <t>(2) Se refiere al promedio de consultas de salud bucal.</t>
  </si>
  <si>
    <t>(3) Incluye la información correspondiente al Hospital Dr. Francisco Perez.</t>
  </si>
  <si>
    <t>Fuente Documental: Sistema de Información Estadística en Salud. SIES</t>
  </si>
  <si>
    <t>Fuente Institucional:  Ministerio de Salud, Dirección Nacional de Planificación, Departamento de Registros y Estadística.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</si>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</sst>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name val="Tms Rmn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2"/>
      <name val="Helv"/>
    </font>
    <font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/>
      <bottom style="double">
        <color auto="1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0" fontId="7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140">
    <xf numFmtId="0" fontId="0" fillId="0" borderId="0" xfId="0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" fontId="3" fillId="0" borderId="0" xfId="1" applyNumberFormat="1" applyFont="1"/>
    <xf numFmtId="164" fontId="2" fillId="0" borderId="0" xfId="1" quotePrefix="1" applyNumberFormat="1" applyFont="1" applyAlignment="1">
      <alignment horizontal="center"/>
    </xf>
    <xf numFmtId="164" fontId="2" fillId="0" borderId="0" xfId="1" applyNumberFormat="1" applyFont="1" applyAlignment="1">
      <alignment horizontal="left"/>
    </xf>
    <xf numFmtId="3" fontId="2" fillId="0" borderId="0" xfId="1" applyNumberFormat="1" applyFont="1" applyAlignment="1">
      <alignment horizontal="left"/>
    </xf>
    <xf numFmtId="3" fontId="2" fillId="0" borderId="0" xfId="1" quotePrefix="1" applyNumberFormat="1" applyFont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 wrapText="1"/>
    </xf>
    <xf numFmtId="164" fontId="2" fillId="2" borderId="13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3" fontId="2" fillId="2" borderId="16" xfId="1" applyNumberFormat="1" applyFont="1" applyFill="1" applyBorder="1" applyAlignment="1">
      <alignment horizontal="center" vertical="center" wrapText="1"/>
    </xf>
    <xf numFmtId="3" fontId="2" fillId="2" borderId="17" xfId="1" applyNumberFormat="1" applyFont="1" applyFill="1" applyBorder="1" applyAlignment="1">
      <alignment horizontal="centerContinuous" vertical="center" wrapText="1"/>
    </xf>
    <xf numFmtId="164" fontId="2" fillId="2" borderId="18" xfId="1" applyNumberFormat="1" applyFont="1" applyFill="1" applyBorder="1" applyAlignment="1">
      <alignment horizontal="centerContinuous" vertical="center" wrapText="1"/>
    </xf>
    <xf numFmtId="3" fontId="2" fillId="2" borderId="17" xfId="1" applyNumberFormat="1" applyFont="1" applyFill="1" applyBorder="1" applyAlignment="1">
      <alignment horizontal="center" vertical="center" wrapText="1"/>
    </xf>
    <xf numFmtId="164" fontId="2" fillId="2" borderId="19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3" fontId="2" fillId="0" borderId="20" xfId="1" applyNumberFormat="1" applyFont="1" applyBorder="1" applyAlignment="1">
      <alignment horizontal="right"/>
    </xf>
    <xf numFmtId="3" fontId="2" fillId="0" borderId="21" xfId="1" applyNumberFormat="1" applyFont="1" applyBorder="1" applyAlignment="1">
      <alignment horizontal="right"/>
    </xf>
    <xf numFmtId="165" fontId="2" fillId="0" borderId="22" xfId="1" applyNumberFormat="1" applyFont="1" applyBorder="1"/>
    <xf numFmtId="3" fontId="2" fillId="0" borderId="23" xfId="1" applyNumberFormat="1" applyFont="1" applyBorder="1" applyAlignment="1">
      <alignment horizontal="right"/>
    </xf>
    <xf numFmtId="165" fontId="2" fillId="0" borderId="24" xfId="1" applyNumberFormat="1" applyFont="1" applyBorder="1"/>
    <xf numFmtId="165" fontId="2" fillId="0" borderId="25" xfId="1" applyNumberFormat="1" applyFont="1" applyBorder="1" applyAlignment="1">
      <alignment horizontal="right"/>
    </xf>
    <xf numFmtId="164" fontId="4" fillId="0" borderId="0" xfId="1" applyNumberFormat="1" applyFont="1"/>
    <xf numFmtId="1" fontId="2" fillId="0" borderId="0" xfId="1" applyNumberFormat="1" applyFont="1" applyAlignment="1">
      <alignment horizontal="right"/>
    </xf>
    <xf numFmtId="3" fontId="4" fillId="0" borderId="0" xfId="1" applyNumberFormat="1" applyFont="1"/>
    <xf numFmtId="3" fontId="2" fillId="0" borderId="26" xfId="1" applyNumberFormat="1" applyFont="1" applyBorder="1" applyAlignment="1">
      <alignment horizontal="right"/>
    </xf>
    <xf numFmtId="165" fontId="2" fillId="0" borderId="27" xfId="1" applyNumberFormat="1" applyFont="1" applyBorder="1"/>
    <xf numFmtId="1" fontId="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3" fontId="4" fillId="0" borderId="20" xfId="1" applyNumberFormat="1" applyFont="1" applyBorder="1" applyAlignment="1">
      <alignment horizontal="right"/>
    </xf>
    <xf numFmtId="3" fontId="4" fillId="0" borderId="26" xfId="1" quotePrefix="1" applyNumberFormat="1" applyFont="1" applyBorder="1" applyAlignment="1">
      <alignment horizontal="right"/>
    </xf>
    <xf numFmtId="165" fontId="4" fillId="0" borderId="27" xfId="1" applyNumberFormat="1" applyFont="1" applyBorder="1"/>
    <xf numFmtId="165" fontId="4" fillId="0" borderId="24" xfId="1" applyNumberFormat="1" applyFont="1" applyBorder="1"/>
    <xf numFmtId="165" fontId="4" fillId="0" borderId="25" xfId="1" applyNumberFormat="1" applyFont="1" applyBorder="1" applyAlignment="1">
      <alignment horizontal="right"/>
    </xf>
    <xf numFmtId="1" fontId="5" fillId="0" borderId="0" xfId="1" applyNumberFormat="1" applyFont="1" applyAlignment="1">
      <alignment horizontal="right"/>
    </xf>
    <xf numFmtId="1" fontId="4" fillId="0" borderId="0" xfId="1" applyNumberFormat="1" applyFont="1" applyAlignment="1">
      <alignment horizontal="right"/>
    </xf>
    <xf numFmtId="3" fontId="2" fillId="0" borderId="28" xfId="1" applyNumberFormat="1" applyFont="1" applyBorder="1" applyAlignment="1">
      <alignment horizontal="right"/>
    </xf>
    <xf numFmtId="1" fontId="5" fillId="0" borderId="0" xfId="1" applyNumberFormat="1" applyFont="1"/>
    <xf numFmtId="3" fontId="4" fillId="0" borderId="29" xfId="1" quotePrefix="1" applyNumberFormat="1" applyFont="1" applyBorder="1" applyAlignment="1">
      <alignment horizontal="right"/>
    </xf>
    <xf numFmtId="3" fontId="2" fillId="0" borderId="26" xfId="1" quotePrefix="1" applyNumberFormat="1" applyFont="1" applyBorder="1" applyAlignment="1">
      <alignment horizontal="right"/>
    </xf>
    <xf numFmtId="3" fontId="2" fillId="0" borderId="29" xfId="1" quotePrefix="1" applyNumberFormat="1" applyFont="1" applyBorder="1" applyAlignment="1">
      <alignment horizontal="right"/>
    </xf>
    <xf numFmtId="164" fontId="2" fillId="0" borderId="0" xfId="1" applyNumberFormat="1" applyFont="1" applyAlignment="1">
      <alignment horizontal="left" indent="1"/>
    </xf>
    <xf numFmtId="3" fontId="2" fillId="0" borderId="30" xfId="1" quotePrefix="1" applyNumberFormat="1" applyFont="1" applyBorder="1" applyAlignment="1">
      <alignment horizontal="right"/>
    </xf>
    <xf numFmtId="165" fontId="2" fillId="0" borderId="31" xfId="1" applyNumberFormat="1" applyFont="1" applyBorder="1"/>
    <xf numFmtId="3" fontId="4" fillId="0" borderId="30" xfId="1" quotePrefix="1" applyNumberFormat="1" applyFont="1" applyBorder="1" applyAlignment="1">
      <alignment horizontal="right"/>
    </xf>
    <xf numFmtId="165" fontId="4" fillId="0" borderId="31" xfId="1" applyNumberFormat="1" applyFont="1" applyBorder="1"/>
    <xf numFmtId="164" fontId="4" fillId="0" borderId="32" xfId="1" applyNumberFormat="1" applyFont="1" applyBorder="1"/>
    <xf numFmtId="3" fontId="4" fillId="0" borderId="33" xfId="1" applyNumberFormat="1" applyFont="1" applyBorder="1" applyAlignment="1">
      <alignment horizontal="right"/>
    </xf>
    <xf numFmtId="3" fontId="4" fillId="0" borderId="34" xfId="1" quotePrefix="1" applyNumberFormat="1" applyFont="1" applyBorder="1" applyAlignment="1">
      <alignment horizontal="right"/>
    </xf>
    <xf numFmtId="165" fontId="4" fillId="0" borderId="35" xfId="1" applyNumberFormat="1" applyFont="1" applyBorder="1"/>
    <xf numFmtId="165" fontId="4" fillId="0" borderId="36" xfId="1" applyNumberFormat="1" applyFont="1" applyBorder="1"/>
    <xf numFmtId="165" fontId="4" fillId="0" borderId="37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164" fontId="2" fillId="0" borderId="38" xfId="1" applyNumberFormat="1" applyFont="1" applyBorder="1" applyAlignment="1">
      <alignment horizontal="center"/>
    </xf>
    <xf numFmtId="3" fontId="4" fillId="0" borderId="20" xfId="1" quotePrefix="1" applyNumberFormat="1" applyFont="1" applyBorder="1" applyAlignment="1">
      <alignment horizontal="right"/>
    </xf>
    <xf numFmtId="165" fontId="4" fillId="0" borderId="0" xfId="1" applyNumberFormat="1" applyFont="1"/>
    <xf numFmtId="1" fontId="5" fillId="0" borderId="0" xfId="1" applyNumberFormat="1" applyFont="1" applyAlignment="1">
      <alignment vertical="top" wrapText="1"/>
    </xf>
    <xf numFmtId="3" fontId="2" fillId="0" borderId="30" xfId="1" applyNumberFormat="1" applyFont="1" applyBorder="1" applyAlignment="1">
      <alignment horizontal="right"/>
    </xf>
    <xf numFmtId="165" fontId="2" fillId="0" borderId="0" xfId="1" applyNumberFormat="1" applyFont="1"/>
    <xf numFmtId="3" fontId="2" fillId="0" borderId="29" xfId="1" applyNumberFormat="1" applyFont="1" applyBorder="1" applyAlignment="1">
      <alignment horizontal="right"/>
    </xf>
    <xf numFmtId="1" fontId="5" fillId="0" borderId="0" xfId="1" quotePrefix="1" applyNumberFormat="1" applyFont="1" applyAlignment="1">
      <alignment horizontal="right"/>
    </xf>
    <xf numFmtId="1" fontId="4" fillId="0" borderId="0" xfId="1" quotePrefix="1" applyNumberFormat="1" applyFont="1" applyAlignment="1">
      <alignment horizontal="right"/>
    </xf>
    <xf numFmtId="164" fontId="4" fillId="0" borderId="0" xfId="2" applyNumberFormat="1" applyFont="1" applyAlignment="1">
      <alignment horizontal="left"/>
    </xf>
    <xf numFmtId="3" fontId="4" fillId="0" borderId="20" xfId="3" applyNumberFormat="1" applyFont="1" applyBorder="1" applyAlignment="1">
      <alignment horizontal="right"/>
    </xf>
    <xf numFmtId="1" fontId="5" fillId="0" borderId="0" xfId="3" applyNumberFormat="1" applyFont="1" applyAlignment="1">
      <alignment horizontal="right"/>
    </xf>
    <xf numFmtId="3" fontId="2" fillId="0" borderId="0" xfId="4" applyNumberFormat="1" applyFont="1"/>
    <xf numFmtId="165" fontId="2" fillId="0" borderId="25" xfId="1" applyNumberFormat="1" applyFont="1" applyBorder="1"/>
    <xf numFmtId="3" fontId="2" fillId="0" borderId="0" xfId="4" applyNumberFormat="1" applyFont="1" applyAlignment="1">
      <alignment horizontal="left"/>
    </xf>
    <xf numFmtId="165" fontId="4" fillId="0" borderId="25" xfId="1" applyNumberFormat="1" applyFont="1" applyBorder="1"/>
    <xf numFmtId="164" fontId="4" fillId="0" borderId="32" xfId="1" applyNumberFormat="1" applyFont="1" applyBorder="1" applyAlignment="1">
      <alignment horizontal="left"/>
    </xf>
    <xf numFmtId="3" fontId="4" fillId="0" borderId="39" xfId="1" quotePrefix="1" applyNumberFormat="1" applyFont="1" applyBorder="1" applyAlignment="1">
      <alignment horizontal="right"/>
    </xf>
    <xf numFmtId="165" fontId="4" fillId="0" borderId="40" xfId="1" applyNumberFormat="1" applyFont="1" applyBorder="1"/>
    <xf numFmtId="165" fontId="4" fillId="0" borderId="41" xfId="1" applyNumberFormat="1" applyFont="1" applyBorder="1"/>
    <xf numFmtId="3" fontId="4" fillId="0" borderId="0" xfId="1" applyNumberFormat="1" applyFont="1" applyAlignment="1">
      <alignment horizontal="right"/>
    </xf>
    <xf numFmtId="164" fontId="4" fillId="2" borderId="1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>
      <alignment horizontal="center" vertical="center" wrapText="1"/>
    </xf>
    <xf numFmtId="3" fontId="4" fillId="2" borderId="17" xfId="1" applyNumberFormat="1" applyFont="1" applyFill="1" applyBorder="1" applyAlignment="1">
      <alignment horizontal="centerContinuous" vertical="center" wrapText="1"/>
    </xf>
    <xf numFmtId="164" fontId="4" fillId="2" borderId="18" xfId="1" applyNumberFormat="1" applyFont="1" applyFill="1" applyBorder="1" applyAlignment="1">
      <alignment horizontal="centerContinuous" vertical="center" wrapText="1"/>
    </xf>
    <xf numFmtId="3" fontId="4" fillId="2" borderId="17" xfId="1" applyNumberFormat="1" applyFont="1" applyFill="1" applyBorder="1" applyAlignment="1">
      <alignment horizontal="center" vertical="center" wrapText="1"/>
    </xf>
    <xf numFmtId="164" fontId="4" fillId="2" borderId="19" xfId="1" applyNumberFormat="1" applyFont="1" applyFill="1" applyBorder="1" applyAlignment="1">
      <alignment horizontal="center" vertical="center"/>
    </xf>
    <xf numFmtId="164" fontId="4" fillId="2" borderId="18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3" fontId="4" fillId="0" borderId="42" xfId="1" applyNumberFormat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Continuous" vertical="center"/>
    </xf>
    <xf numFmtId="164" fontId="4" fillId="0" borderId="43" xfId="1" applyNumberFormat="1" applyFont="1" applyBorder="1" applyAlignment="1">
      <alignment horizontal="centerContinuous" vertical="center"/>
    </xf>
    <xf numFmtId="3" fontId="4" fillId="0" borderId="3" xfId="1" applyNumberFormat="1" applyFont="1" applyBorder="1" applyAlignment="1">
      <alignment horizontal="center" vertical="center" wrapText="1"/>
    </xf>
    <xf numFmtId="164" fontId="4" fillId="0" borderId="43" xfId="1" applyNumberFormat="1" applyFont="1" applyBorder="1" applyAlignment="1">
      <alignment horizontal="center" vertical="center"/>
    </xf>
    <xf numFmtId="164" fontId="4" fillId="0" borderId="43" xfId="1" applyNumberFormat="1" applyFont="1" applyBorder="1" applyAlignment="1">
      <alignment horizontal="center" vertical="center" wrapText="1"/>
    </xf>
    <xf numFmtId="3" fontId="4" fillId="0" borderId="21" xfId="1" applyNumberFormat="1" applyFont="1" applyBorder="1" applyAlignment="1">
      <alignment horizontal="right"/>
    </xf>
    <xf numFmtId="3" fontId="4" fillId="0" borderId="21" xfId="1" applyNumberFormat="1" applyFont="1" applyBorder="1"/>
    <xf numFmtId="3" fontId="4" fillId="0" borderId="28" xfId="1" quotePrefix="1" applyNumberFormat="1" applyFont="1" applyBorder="1" applyAlignment="1">
      <alignment horizontal="right"/>
    </xf>
    <xf numFmtId="164" fontId="4" fillId="0" borderId="0" xfId="1" applyNumberFormat="1" applyFont="1" applyAlignment="1">
      <alignment horizontal="left" indent="2"/>
    </xf>
    <xf numFmtId="164" fontId="4" fillId="0" borderId="0" xfId="1" applyNumberFormat="1" applyFont="1" applyAlignment="1">
      <alignment horizontal="center"/>
    </xf>
    <xf numFmtId="1" fontId="4" fillId="0" borderId="0" xfId="5" applyNumberFormat="1" applyFont="1" applyAlignment="1">
      <alignment horizontal="left"/>
    </xf>
    <xf numFmtId="3" fontId="4" fillId="0" borderId="0" xfId="1" quotePrefix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left"/>
    </xf>
    <xf numFmtId="3" fontId="2" fillId="0" borderId="0" xfId="1" applyNumberFormat="1" applyFont="1" applyAlignment="1">
      <alignment horizontal="centerContinuous"/>
    </xf>
    <xf numFmtId="164" fontId="4" fillId="0" borderId="0" xfId="6" applyNumberFormat="1" applyFont="1"/>
    <xf numFmtId="164" fontId="4" fillId="0" borderId="0" xfId="7" applyNumberFormat="1" applyFont="1" applyAlignment="1">
      <alignment horizontal="left"/>
    </xf>
    <xf numFmtId="3" fontId="4" fillId="0" borderId="0" xfId="7" applyNumberFormat="1" applyFont="1" applyAlignment="1">
      <alignment horizontal="left"/>
    </xf>
    <xf numFmtId="164" fontId="4" fillId="0" borderId="0" xfId="8" quotePrefix="1" applyNumberFormat="1" applyFont="1" applyAlignment="1">
      <alignment horizontal="left" wrapText="1"/>
    </xf>
    <xf numFmtId="3" fontId="2" fillId="0" borderId="0" xfId="1" applyNumberFormat="1" applyFont="1"/>
    <xf numFmtId="164" fontId="2" fillId="0" borderId="0" xfId="1" quotePrefix="1" applyNumberFormat="1" applyFont="1" applyAlignment="1">
      <alignment horizontal="left" vertical="center" wrapText="1"/>
    </xf>
    <xf numFmtId="164" fontId="4" fillId="0" borderId="0" xfId="1" applyNumberFormat="1" applyFont="1" applyAlignment="1">
      <alignment vertical="center" wrapText="1"/>
    </xf>
    <xf numFmtId="166" fontId="4" fillId="0" borderId="0" xfId="1" applyNumberFormat="1" applyFont="1"/>
  </cellXfs>
  <cellStyles count="9">
    <cellStyle name="Millares [0] 6 2" xfId="3" xr:uid="{C0798364-A1A4-49E0-997F-5D7ACAA1F066}"/>
    <cellStyle name="Normal" xfId="0" builtinId="0"/>
    <cellStyle name="Normal_COBERTURA POR REGION 2" xfId="6" xr:uid="{97738491-8967-469E-AB96-6CCC5CDB7E58}"/>
    <cellStyle name="Normal_COBERTURA POR REGION 6" xfId="2" xr:uid="{A5370550-D0FF-48B4-9DF5-7C6848C2DE4F}"/>
    <cellStyle name="Normal_CUADRO 32 ANUARIO 2004 6" xfId="5" xr:uid="{D45CDD5C-F759-497E-84A5-E31B83BF4A76}"/>
    <cellStyle name="Normal_CUADRO_31 2003 11" xfId="7" xr:uid="{AD6345DF-CDD6-43C2-A52B-08E8B7475363}"/>
    <cellStyle name="Normal_CUADRO_42 2003" xfId="1" xr:uid="{038667CE-E4EE-48B1-A73B-B54760B357C5}"/>
    <cellStyle name="Normal_CUADRO_42 2003_cuadro 42" xfId="4" xr:uid="{D56F46D7-A56E-4E23-B7E1-713E65D4EA8A}"/>
    <cellStyle name="Normal_INGRESO A PRENATAL EN ADOLSCENTE" xfId="8" xr:uid="{446FD002-F688-4192-9313-2C5A6BFE90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rmagallon\Mis%20documentos\BOLETIN%20INSTALACIONES%202007\Documents%20and%20Settings\gmcleary\Mis%20documentos\ANUARIOS\anuario%202004\archivos%20del%20normativo\salud%20bucal\SALUD%20BUCAL\CUADRO_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30655-00A2-4CB1-B2AD-0E3A070246DE}">
  <sheetPr syncVertical="1" syncRef="A1"/>
  <dimension ref="A1:N183"/>
  <sheetViews>
    <sheetView tabSelected="1" view="pageBreakPreview" zoomScaleNormal="100" zoomScaleSheetLayoutView="100" workbookViewId="0">
      <selection activeCell="F16" sqref="F16"/>
    </sheetView>
  </sheetViews>
  <sheetFormatPr baseColWidth="10" defaultColWidth="8.42578125" defaultRowHeight="15.75" x14ac:dyDescent="0.25"/>
  <cols>
    <col min="1" max="1" width="25.42578125" style="42" customWidth="1"/>
    <col min="2" max="2" width="12.140625" style="44" customWidth="1"/>
    <col min="3" max="3" width="11.28515625" style="44" customWidth="1"/>
    <col min="4" max="4" width="11.28515625" style="42" customWidth="1"/>
    <col min="5" max="5" width="14.7109375" style="44" customWidth="1"/>
    <col min="6" max="7" width="14.7109375" style="42" customWidth="1"/>
    <col min="8" max="8" width="11.140625" style="42" hidden="1" customWidth="1"/>
    <col min="9" max="9" width="10.140625" style="57" hidden="1" customWidth="1"/>
    <col min="10" max="10" width="10.140625" style="42" hidden="1" customWidth="1"/>
    <col min="11" max="14" width="8.5703125" style="42" hidden="1" customWidth="1"/>
    <col min="15" max="16384" width="8.42578125" style="42"/>
  </cols>
  <sheetData>
    <row r="1" spans="1:14" s="2" customFormat="1" ht="17.25" customHeight="1" x14ac:dyDescent="0.25">
      <c r="A1" s="1" t="s">
        <v>0</v>
      </c>
      <c r="B1" s="1"/>
      <c r="C1" s="1"/>
      <c r="D1" s="1"/>
      <c r="E1" s="1"/>
      <c r="F1" s="1"/>
      <c r="G1" s="1"/>
      <c r="I1" s="3"/>
    </row>
    <row r="2" spans="1:14" s="2" customFormat="1" ht="21" customHeight="1" x14ac:dyDescent="0.25">
      <c r="A2" s="1" t="s">
        <v>1</v>
      </c>
      <c r="B2" s="1"/>
      <c r="C2" s="4"/>
      <c r="D2" s="4"/>
      <c r="E2" s="4"/>
      <c r="F2" s="4"/>
      <c r="G2" s="4"/>
      <c r="I2" s="3"/>
    </row>
    <row r="3" spans="1:14" s="2" customFormat="1" ht="21" customHeight="1" thickBot="1" x14ac:dyDescent="0.3">
      <c r="A3" s="5"/>
      <c r="B3" s="6"/>
      <c r="C3" s="7"/>
      <c r="D3" s="8"/>
      <c r="E3" s="7"/>
      <c r="F3" s="8"/>
      <c r="G3" s="8"/>
      <c r="I3" s="3"/>
    </row>
    <row r="4" spans="1:14" s="2" customFormat="1" ht="21" customHeight="1" x14ac:dyDescent="0.25">
      <c r="A4" s="9" t="s">
        <v>2</v>
      </c>
      <c r="B4" s="10" t="s">
        <v>3</v>
      </c>
      <c r="C4" s="11" t="s">
        <v>4</v>
      </c>
      <c r="D4" s="12"/>
      <c r="E4" s="13" t="s">
        <v>5</v>
      </c>
      <c r="F4" s="14"/>
      <c r="G4" s="15" t="s">
        <v>6</v>
      </c>
      <c r="H4" s="16"/>
      <c r="I4" s="17"/>
    </row>
    <row r="5" spans="1:14" s="2" customFormat="1" ht="15" customHeight="1" x14ac:dyDescent="0.25">
      <c r="A5" s="18"/>
      <c r="B5" s="19"/>
      <c r="C5" s="20"/>
      <c r="D5" s="21"/>
      <c r="E5" s="22" t="s">
        <v>7</v>
      </c>
      <c r="F5" s="23" t="s">
        <v>8</v>
      </c>
      <c r="G5" s="24"/>
      <c r="H5" s="25"/>
      <c r="I5" s="26"/>
    </row>
    <row r="6" spans="1:14" s="2" customFormat="1" ht="36.75" customHeight="1" thickBot="1" x14ac:dyDescent="0.3">
      <c r="A6" s="27"/>
      <c r="B6" s="28"/>
      <c r="C6" s="29" t="s">
        <v>9</v>
      </c>
      <c r="D6" s="30" t="s">
        <v>10</v>
      </c>
      <c r="E6" s="31"/>
      <c r="F6" s="32"/>
      <c r="G6" s="33"/>
      <c r="H6" s="34" t="s">
        <v>11</v>
      </c>
      <c r="I6" s="26"/>
      <c r="J6" s="2" t="s">
        <v>12</v>
      </c>
      <c r="M6" s="2">
        <f>7/3</f>
        <v>2.3333333333333335</v>
      </c>
      <c r="N6" s="2">
        <f>10/6</f>
        <v>1.6666666666666667</v>
      </c>
    </row>
    <row r="7" spans="1:14" ht="25.5" customHeight="1" x14ac:dyDescent="0.25">
      <c r="A7" s="35" t="s">
        <v>13</v>
      </c>
      <c r="B7" s="36">
        <f>+B9+B13+B20+B26+B40+B54+B62+B70+B82+B102+B103+B113</f>
        <v>783358</v>
      </c>
      <c r="C7" s="37">
        <f>+C9+C13+C20+C26+C40+C54+C62+C70+C82+C102+C103+C113</f>
        <v>572417</v>
      </c>
      <c r="D7" s="38">
        <f>+C7/J7*100</f>
        <v>13.568216425113445</v>
      </c>
      <c r="E7" s="39">
        <f>+E9+E13+E20+E26+E40+E54+E62+E70+E82+E102+E103+E113</f>
        <v>190201</v>
      </c>
      <c r="F7" s="40">
        <f>+E7/C7*100</f>
        <v>33.227699386985357</v>
      </c>
      <c r="G7" s="41">
        <f>+B7/C7</f>
        <v>1.3685093210019967</v>
      </c>
      <c r="I7" s="43">
        <f>+C7/B7*100</f>
        <v>73.072209641058123</v>
      </c>
      <c r="J7" s="44">
        <v>4218808</v>
      </c>
      <c r="K7" s="42">
        <f>+E7/B7*100</f>
        <v>24.280214154958525</v>
      </c>
      <c r="M7" s="42">
        <f>6/3</f>
        <v>2</v>
      </c>
      <c r="N7" s="42">
        <f>11/6</f>
        <v>1.8333333333333333</v>
      </c>
    </row>
    <row r="8" spans="1:14" ht="7.9" customHeight="1" x14ac:dyDescent="0.25">
      <c r="B8" s="36"/>
      <c r="C8" s="45"/>
      <c r="D8" s="46"/>
      <c r="E8" s="39"/>
      <c r="F8" s="40"/>
      <c r="G8" s="41"/>
      <c r="I8" s="47"/>
    </row>
    <row r="9" spans="1:14" x14ac:dyDescent="0.25">
      <c r="A9" s="5" t="s">
        <v>14</v>
      </c>
      <c r="B9" s="36">
        <f>SUM(B10:B12)</f>
        <v>17377</v>
      </c>
      <c r="C9" s="45">
        <f>SUM(C10:C12)</f>
        <v>10478</v>
      </c>
      <c r="D9" s="46">
        <f t="shared" ref="D9:D47" si="0">+C9/J9*100</f>
        <v>5.9832915526978487</v>
      </c>
      <c r="E9" s="39">
        <f>SUM(E10:E12)</f>
        <v>2008</v>
      </c>
      <c r="F9" s="40">
        <f t="shared" ref="F9:F46" si="1">+E9/C9*100</f>
        <v>19.163962588280206</v>
      </c>
      <c r="G9" s="41">
        <f t="shared" ref="G9:G46" si="2">+B9/C9</f>
        <v>1.6584271807596869</v>
      </c>
      <c r="I9" s="47"/>
      <c r="J9" s="2">
        <v>175121</v>
      </c>
      <c r="N9" s="42">
        <f>8826+8551</f>
        <v>17377</v>
      </c>
    </row>
    <row r="10" spans="1:14" ht="16.5" customHeight="1" x14ac:dyDescent="0.25">
      <c r="A10" s="48" t="s">
        <v>15</v>
      </c>
      <c r="B10" s="49">
        <f>1494+1401</f>
        <v>2895</v>
      </c>
      <c r="C10" s="50">
        <v>1498</v>
      </c>
      <c r="D10" s="51">
        <f t="shared" si="0"/>
        <v>7.001308655823518</v>
      </c>
      <c r="E10" s="50">
        <v>208</v>
      </c>
      <c r="F10" s="52">
        <f t="shared" si="1"/>
        <v>13.885180240320427</v>
      </c>
      <c r="G10" s="53">
        <f t="shared" si="2"/>
        <v>1.9325767690253672</v>
      </c>
      <c r="I10" s="54"/>
      <c r="J10" s="42">
        <v>21396</v>
      </c>
    </row>
    <row r="11" spans="1:14" ht="16.5" customHeight="1" x14ac:dyDescent="0.25">
      <c r="A11" s="42" t="s">
        <v>16</v>
      </c>
      <c r="B11" s="49">
        <f>6623+5699</f>
        <v>12322</v>
      </c>
      <c r="C11" s="50">
        <v>7630</v>
      </c>
      <c r="D11" s="51">
        <f t="shared" si="0"/>
        <v>7.1422553800934203</v>
      </c>
      <c r="E11" s="50">
        <v>1575</v>
      </c>
      <c r="F11" s="52">
        <f t="shared" si="1"/>
        <v>20.642201834862387</v>
      </c>
      <c r="G11" s="53">
        <f t="shared" si="2"/>
        <v>1.6149410222804719</v>
      </c>
      <c r="I11" s="54"/>
      <c r="J11" s="42">
        <v>106829</v>
      </c>
    </row>
    <row r="12" spans="1:14" ht="16.5" customHeight="1" x14ac:dyDescent="0.25">
      <c r="A12" s="48" t="s">
        <v>17</v>
      </c>
      <c r="B12" s="49">
        <f>709+1451</f>
        <v>2160</v>
      </c>
      <c r="C12" s="50">
        <v>1350</v>
      </c>
      <c r="D12" s="51">
        <f t="shared" si="0"/>
        <v>9.2892038808229547</v>
      </c>
      <c r="E12" s="50">
        <v>225</v>
      </c>
      <c r="F12" s="52">
        <f t="shared" si="1"/>
        <v>16.666666666666664</v>
      </c>
      <c r="G12" s="53">
        <f t="shared" si="2"/>
        <v>1.6</v>
      </c>
      <c r="I12" s="54"/>
      <c r="J12" s="42">
        <v>14533</v>
      </c>
    </row>
    <row r="13" spans="1:14" x14ac:dyDescent="0.25">
      <c r="A13" s="5" t="s">
        <v>18</v>
      </c>
      <c r="B13" s="36">
        <f>SUM(B14:B19)</f>
        <v>90802</v>
      </c>
      <c r="C13" s="45">
        <f>SUM(C14:C19)</f>
        <v>61482</v>
      </c>
      <c r="D13" s="46">
        <f t="shared" si="0"/>
        <v>23.187717094916444</v>
      </c>
      <c r="E13" s="39">
        <f>SUM(E14:E19)</f>
        <v>26153</v>
      </c>
      <c r="F13" s="40">
        <f t="shared" si="1"/>
        <v>42.537653296899904</v>
      </c>
      <c r="G13" s="41">
        <f t="shared" si="2"/>
        <v>1.4768875443219154</v>
      </c>
      <c r="I13" s="47"/>
      <c r="J13" s="42">
        <v>265149</v>
      </c>
    </row>
    <row r="14" spans="1:14" ht="16.5" customHeight="1" x14ac:dyDescent="0.25">
      <c r="A14" s="48" t="s">
        <v>19</v>
      </c>
      <c r="B14" s="49">
        <f>9652+4291</f>
        <v>13943</v>
      </c>
      <c r="C14" s="50">
        <v>9549</v>
      </c>
      <c r="D14" s="51">
        <f t="shared" si="0"/>
        <v>18.481458543005342</v>
      </c>
      <c r="E14" s="50">
        <v>3578</v>
      </c>
      <c r="F14" s="52">
        <f t="shared" si="1"/>
        <v>37.469892135302125</v>
      </c>
      <c r="G14" s="53">
        <f t="shared" si="2"/>
        <v>1.4601528955911613</v>
      </c>
      <c r="I14" s="54"/>
      <c r="J14" s="42">
        <v>51668</v>
      </c>
    </row>
    <row r="15" spans="1:14" ht="16.5" customHeight="1" x14ac:dyDescent="0.25">
      <c r="A15" s="48" t="s">
        <v>20</v>
      </c>
      <c r="B15" s="49">
        <f>10323+20265</f>
        <v>30588</v>
      </c>
      <c r="C15" s="50">
        <v>20347</v>
      </c>
      <c r="D15" s="51">
        <f t="shared" si="0"/>
        <v>35.280552087668191</v>
      </c>
      <c r="E15" s="50">
        <v>9927</v>
      </c>
      <c r="F15" s="52">
        <f t="shared" si="1"/>
        <v>48.788519192018484</v>
      </c>
      <c r="G15" s="53">
        <f t="shared" si="2"/>
        <v>1.5033174423747973</v>
      </c>
      <c r="I15" s="54"/>
      <c r="J15" s="42">
        <v>57672</v>
      </c>
    </row>
    <row r="16" spans="1:14" ht="16.5" customHeight="1" x14ac:dyDescent="0.25">
      <c r="A16" s="48" t="s">
        <v>21</v>
      </c>
      <c r="B16" s="49">
        <f>3331+7663</f>
        <v>10994</v>
      </c>
      <c r="C16" s="50">
        <v>7590</v>
      </c>
      <c r="D16" s="51">
        <f t="shared" si="0"/>
        <v>25.164948111800005</v>
      </c>
      <c r="E16" s="50">
        <v>2782</v>
      </c>
      <c r="F16" s="52">
        <f t="shared" si="1"/>
        <v>36.653491436100133</v>
      </c>
      <c r="G16" s="53">
        <f t="shared" si="2"/>
        <v>1.4484848484848485</v>
      </c>
      <c r="I16" s="54"/>
      <c r="J16" s="42">
        <v>30161</v>
      </c>
    </row>
    <row r="17" spans="1:13" ht="16.5" customHeight="1" x14ac:dyDescent="0.25">
      <c r="A17" s="48" t="s">
        <v>22</v>
      </c>
      <c r="B17" s="49">
        <f>4344+5039</f>
        <v>9383</v>
      </c>
      <c r="C17" s="50">
        <v>5809</v>
      </c>
      <c r="D17" s="51">
        <f t="shared" si="0"/>
        <v>24.852400102678189</v>
      </c>
      <c r="E17" s="50">
        <v>2510</v>
      </c>
      <c r="F17" s="52">
        <f t="shared" si="1"/>
        <v>43.208813909450846</v>
      </c>
      <c r="G17" s="53">
        <f t="shared" si="2"/>
        <v>1.6152521948700294</v>
      </c>
      <c r="I17" s="54"/>
      <c r="J17" s="42">
        <v>23374</v>
      </c>
    </row>
    <row r="18" spans="1:13" ht="16.5" customHeight="1" x14ac:dyDescent="0.25">
      <c r="A18" s="48" t="s">
        <v>23</v>
      </c>
      <c r="B18" s="49">
        <f>2247+2984</f>
        <v>5231</v>
      </c>
      <c r="C18" s="50">
        <v>3404</v>
      </c>
      <c r="D18" s="51">
        <f t="shared" si="0"/>
        <v>46.212326907412439</v>
      </c>
      <c r="E18" s="50">
        <v>1235</v>
      </c>
      <c r="F18" s="52">
        <f t="shared" si="1"/>
        <v>36.28084606345476</v>
      </c>
      <c r="G18" s="53">
        <f t="shared" si="2"/>
        <v>1.5367215041128084</v>
      </c>
      <c r="I18" s="54"/>
      <c r="J18" s="42">
        <v>7366</v>
      </c>
    </row>
    <row r="19" spans="1:13" ht="16.5" customHeight="1" x14ac:dyDescent="0.25">
      <c r="A19" s="48" t="s">
        <v>24</v>
      </c>
      <c r="B19" s="49">
        <f>4179+16484</f>
        <v>20663</v>
      </c>
      <c r="C19" s="50">
        <v>14783</v>
      </c>
      <c r="D19" s="51">
        <f t="shared" si="0"/>
        <v>15.576136890462342</v>
      </c>
      <c r="E19" s="50">
        <v>6121</v>
      </c>
      <c r="F19" s="52">
        <f t="shared" si="1"/>
        <v>41.405668673476292</v>
      </c>
      <c r="G19" s="53">
        <f t="shared" si="2"/>
        <v>1.3977541770953121</v>
      </c>
      <c r="I19" s="54"/>
      <c r="J19" s="42">
        <v>94908</v>
      </c>
    </row>
    <row r="20" spans="1:13" ht="20.25" customHeight="1" x14ac:dyDescent="0.25">
      <c r="A20" s="5" t="s">
        <v>25</v>
      </c>
      <c r="B20" s="36">
        <f>SUM(B21:B25)</f>
        <v>38810</v>
      </c>
      <c r="C20" s="45">
        <f>SUM(C21:C25)</f>
        <v>30840</v>
      </c>
      <c r="D20" s="46">
        <f t="shared" si="0"/>
        <v>10.487655580493776</v>
      </c>
      <c r="E20" s="39">
        <f>SUM(E21:E25)</f>
        <v>6622</v>
      </c>
      <c r="F20" s="40">
        <f t="shared" si="1"/>
        <v>21.472114137483786</v>
      </c>
      <c r="G20" s="41">
        <f t="shared" si="2"/>
        <v>1.2584306095979247</v>
      </c>
      <c r="I20" s="47"/>
      <c r="J20" s="42">
        <v>294060</v>
      </c>
    </row>
    <row r="21" spans="1:13" ht="16.5" customHeight="1" x14ac:dyDescent="0.25">
      <c r="A21" s="48" t="s">
        <v>26</v>
      </c>
      <c r="B21" s="49">
        <f>12590+17630</f>
        <v>30220</v>
      </c>
      <c r="C21" s="50">
        <v>23899</v>
      </c>
      <c r="D21" s="51">
        <f t="shared" si="0"/>
        <v>9.4325994805932911</v>
      </c>
      <c r="E21" s="50">
        <v>5288</v>
      </c>
      <c r="F21" s="52">
        <f t="shared" si="1"/>
        <v>22.126448805389348</v>
      </c>
      <c r="G21" s="53">
        <f t="shared" si="2"/>
        <v>1.2644880538934684</v>
      </c>
      <c r="I21" s="54"/>
      <c r="J21" s="42">
        <v>253366</v>
      </c>
    </row>
    <row r="22" spans="1:13" ht="16.5" customHeight="1" x14ac:dyDescent="0.25">
      <c r="A22" s="48" t="s">
        <v>27</v>
      </c>
      <c r="B22" s="49">
        <f>286+1269</f>
        <v>1555</v>
      </c>
      <c r="C22" s="50">
        <v>1170</v>
      </c>
      <c r="D22" s="51">
        <f t="shared" si="0"/>
        <v>10.315640980426732</v>
      </c>
      <c r="E22" s="50">
        <v>208</v>
      </c>
      <c r="F22" s="52">
        <f t="shared" si="1"/>
        <v>17.777777777777779</v>
      </c>
      <c r="G22" s="53">
        <f t="shared" si="2"/>
        <v>1.329059829059829</v>
      </c>
      <c r="I22" s="54"/>
      <c r="J22" s="42">
        <v>11342</v>
      </c>
    </row>
    <row r="23" spans="1:13" ht="16.5" customHeight="1" x14ac:dyDescent="0.25">
      <c r="A23" s="48" t="s">
        <v>28</v>
      </c>
      <c r="B23" s="49">
        <f>14+246+613+2941</f>
        <v>3814</v>
      </c>
      <c r="C23" s="50">
        <f>2588+252</f>
        <v>2840</v>
      </c>
      <c r="D23" s="51">
        <f t="shared" si="0"/>
        <v>19.191782673334234</v>
      </c>
      <c r="E23" s="50">
        <v>1125</v>
      </c>
      <c r="F23" s="52">
        <f t="shared" si="1"/>
        <v>39.612676056338032</v>
      </c>
      <c r="G23" s="53">
        <f t="shared" si="2"/>
        <v>1.3429577464788733</v>
      </c>
      <c r="I23" s="54">
        <v>3814</v>
      </c>
      <c r="J23" s="55">
        <v>14798</v>
      </c>
    </row>
    <row r="24" spans="1:13" ht="16.5" customHeight="1" x14ac:dyDescent="0.25">
      <c r="A24" s="48" t="s">
        <v>29</v>
      </c>
      <c r="B24" s="49">
        <f>764+2214</f>
        <v>2978</v>
      </c>
      <c r="C24" s="50">
        <v>2691</v>
      </c>
      <c r="D24" s="51">
        <f t="shared" si="0"/>
        <v>25.432378792174653</v>
      </c>
      <c r="E24" s="50">
        <v>1</v>
      </c>
      <c r="F24" s="52">
        <f t="shared" si="1"/>
        <v>3.716090672612412E-2</v>
      </c>
      <c r="G24" s="53">
        <f t="shared" si="2"/>
        <v>1.1066518023039762</v>
      </c>
      <c r="I24" s="54"/>
      <c r="J24" s="42">
        <v>10581</v>
      </c>
    </row>
    <row r="25" spans="1:13" ht="16.5" customHeight="1" x14ac:dyDescent="0.25">
      <c r="A25" s="48" t="s">
        <v>30</v>
      </c>
      <c r="B25" s="49">
        <f>10+233</f>
        <v>243</v>
      </c>
      <c r="C25" s="50">
        <v>240</v>
      </c>
      <c r="D25" s="51">
        <f t="shared" si="0"/>
        <v>6.040775232821546</v>
      </c>
      <c r="E25" s="50">
        <v>0</v>
      </c>
      <c r="F25" s="52">
        <f t="shared" si="1"/>
        <v>0</v>
      </c>
      <c r="G25" s="53">
        <f t="shared" si="2"/>
        <v>1.0125</v>
      </c>
      <c r="I25" s="54"/>
      <c r="J25" s="42">
        <v>3973</v>
      </c>
    </row>
    <row r="26" spans="1:13" ht="18.600000000000001" customHeight="1" x14ac:dyDescent="0.25">
      <c r="A26" s="5" t="s">
        <v>31</v>
      </c>
      <c r="B26" s="36">
        <f>SUM(B27:B39)</f>
        <v>94332</v>
      </c>
      <c r="C26" s="56">
        <f>SUM(C27:C39)</f>
        <v>63421</v>
      </c>
      <c r="D26" s="46">
        <f t="shared" si="0"/>
        <v>13.725825441072079</v>
      </c>
      <c r="E26" s="39">
        <f>SUM(E27:E39)</f>
        <v>20202</v>
      </c>
      <c r="F26" s="40">
        <f t="shared" si="1"/>
        <v>31.85380236830072</v>
      </c>
      <c r="G26" s="41">
        <f t="shared" si="2"/>
        <v>1.4873937654720046</v>
      </c>
      <c r="I26" s="47"/>
      <c r="J26" s="42">
        <v>462056</v>
      </c>
      <c r="M26" s="42">
        <f>47257+47075</f>
        <v>94332</v>
      </c>
    </row>
    <row r="27" spans="1:13" ht="16.5" customHeight="1" x14ac:dyDescent="0.25">
      <c r="A27" s="48" t="s">
        <v>32</v>
      </c>
      <c r="B27" s="49">
        <f>2901+2097</f>
        <v>4998</v>
      </c>
      <c r="C27" s="50">
        <v>3512</v>
      </c>
      <c r="D27" s="51">
        <f t="shared" si="0"/>
        <v>20.145700682613434</v>
      </c>
      <c r="E27" s="50">
        <v>1373</v>
      </c>
      <c r="F27" s="52">
        <f t="shared" si="1"/>
        <v>39.094533029612755</v>
      </c>
      <c r="G27" s="53">
        <f t="shared" si="2"/>
        <v>1.423120728929385</v>
      </c>
      <c r="I27" s="54"/>
      <c r="J27" s="42">
        <v>17433</v>
      </c>
    </row>
    <row r="28" spans="1:13" ht="16.5" customHeight="1" x14ac:dyDescent="0.25">
      <c r="A28" s="48" t="s">
        <v>33</v>
      </c>
      <c r="B28" s="49">
        <f>3572+2991</f>
        <v>6563</v>
      </c>
      <c r="C28" s="50">
        <v>4484</v>
      </c>
      <c r="D28" s="51">
        <f t="shared" si="0"/>
        <v>7.6686277192502397</v>
      </c>
      <c r="E28" s="50">
        <v>931</v>
      </c>
      <c r="F28" s="52">
        <f t="shared" si="1"/>
        <v>20.762711864406779</v>
      </c>
      <c r="G28" s="53">
        <f t="shared" si="2"/>
        <v>1.4636485280999108</v>
      </c>
      <c r="J28" s="42">
        <v>58472</v>
      </c>
    </row>
    <row r="29" spans="1:13" ht="16.5" customHeight="1" x14ac:dyDescent="0.25">
      <c r="A29" s="48" t="s">
        <v>34</v>
      </c>
      <c r="B29" s="49">
        <f>792+755</f>
        <v>1547</v>
      </c>
      <c r="C29" s="50">
        <v>907</v>
      </c>
      <c r="D29" s="51">
        <f t="shared" si="0"/>
        <v>5.5887608601885512</v>
      </c>
      <c r="E29" s="50">
        <v>494</v>
      </c>
      <c r="F29" s="52">
        <f t="shared" si="1"/>
        <v>54.465270121278941</v>
      </c>
      <c r="G29" s="53">
        <f t="shared" si="2"/>
        <v>1.7056229327453143</v>
      </c>
      <c r="J29" s="42">
        <v>16229</v>
      </c>
    </row>
    <row r="30" spans="1:13" ht="16.5" customHeight="1" x14ac:dyDescent="0.25">
      <c r="A30" s="48" t="s">
        <v>35</v>
      </c>
      <c r="B30" s="49">
        <f>2413+2257</f>
        <v>4670</v>
      </c>
      <c r="C30" s="50">
        <v>3072</v>
      </c>
      <c r="D30" s="51">
        <f t="shared" si="0"/>
        <v>13.177197271908378</v>
      </c>
      <c r="E30" s="50">
        <v>1334</v>
      </c>
      <c r="F30" s="52">
        <f t="shared" si="1"/>
        <v>43.424479166666671</v>
      </c>
      <c r="G30" s="53">
        <f t="shared" si="2"/>
        <v>1.5201822916666667</v>
      </c>
      <c r="J30" s="42">
        <v>23313</v>
      </c>
    </row>
    <row r="31" spans="1:13" ht="16.5" customHeight="1" x14ac:dyDescent="0.25">
      <c r="A31" s="48" t="s">
        <v>36</v>
      </c>
      <c r="B31" s="49">
        <f>3720+4310</f>
        <v>8030</v>
      </c>
      <c r="C31" s="50">
        <v>5878</v>
      </c>
      <c r="D31" s="51">
        <f t="shared" si="0"/>
        <v>9.6564866685285278</v>
      </c>
      <c r="E31" s="50">
        <v>2024</v>
      </c>
      <c r="F31" s="52">
        <f t="shared" si="1"/>
        <v>34.433480775774072</v>
      </c>
      <c r="G31" s="53">
        <f t="shared" si="2"/>
        <v>1.3661109220823409</v>
      </c>
      <c r="J31" s="42">
        <v>60871</v>
      </c>
    </row>
    <row r="32" spans="1:13" ht="16.5" customHeight="1" x14ac:dyDescent="0.25">
      <c r="A32" s="48" t="s">
        <v>37</v>
      </c>
      <c r="B32" s="49">
        <f>19918+18237</f>
        <v>38155</v>
      </c>
      <c r="C32" s="50">
        <v>27169</v>
      </c>
      <c r="D32" s="51">
        <f t="shared" si="0"/>
        <v>15.760743456469278</v>
      </c>
      <c r="E32" s="50">
        <v>8946</v>
      </c>
      <c r="F32" s="52">
        <f t="shared" si="1"/>
        <v>32.927233243770473</v>
      </c>
      <c r="G32" s="53">
        <f t="shared" si="2"/>
        <v>1.4043579079097501</v>
      </c>
      <c r="J32" s="42">
        <v>172384</v>
      </c>
    </row>
    <row r="33" spans="1:12" ht="16.5" customHeight="1" x14ac:dyDescent="0.25">
      <c r="A33" s="48" t="s">
        <v>38</v>
      </c>
      <c r="B33" s="49">
        <f>6370+3893</f>
        <v>10263</v>
      </c>
      <c r="C33" s="50">
        <v>7463</v>
      </c>
      <c r="D33" s="51">
        <f t="shared" si="0"/>
        <v>27.841820555866441</v>
      </c>
      <c r="E33" s="50">
        <v>2054</v>
      </c>
      <c r="F33" s="52">
        <f t="shared" si="1"/>
        <v>27.522444057349592</v>
      </c>
      <c r="G33" s="53">
        <f t="shared" si="2"/>
        <v>1.375184242261825</v>
      </c>
      <c r="J33" s="42">
        <v>26805</v>
      </c>
    </row>
    <row r="34" spans="1:12" ht="16.5" customHeight="1" x14ac:dyDescent="0.25">
      <c r="A34" s="48" t="s">
        <v>39</v>
      </c>
      <c r="B34" s="49">
        <f>684+592</f>
        <v>1276</v>
      </c>
      <c r="C34" s="50">
        <v>1151</v>
      </c>
      <c r="D34" s="51">
        <f t="shared" si="0"/>
        <v>11.065179773120553</v>
      </c>
      <c r="E34" s="50">
        <v>252</v>
      </c>
      <c r="F34" s="52">
        <f t="shared" si="1"/>
        <v>21.894005212858385</v>
      </c>
      <c r="G34" s="53">
        <f t="shared" si="2"/>
        <v>1.108601216333623</v>
      </c>
      <c r="J34" s="42">
        <v>10402</v>
      </c>
    </row>
    <row r="35" spans="1:12" ht="16.5" customHeight="1" x14ac:dyDescent="0.25">
      <c r="A35" s="48" t="s">
        <v>40</v>
      </c>
      <c r="B35" s="49">
        <f>1059+1049</f>
        <v>2108</v>
      </c>
      <c r="C35" s="50">
        <v>1277</v>
      </c>
      <c r="D35" s="51">
        <f t="shared" si="0"/>
        <v>29.539671524404348</v>
      </c>
      <c r="E35" s="50">
        <v>136</v>
      </c>
      <c r="F35" s="52">
        <f t="shared" si="1"/>
        <v>10.649960845732185</v>
      </c>
      <c r="G35" s="53">
        <f t="shared" si="2"/>
        <v>1.6507439310884886</v>
      </c>
      <c r="J35" s="42">
        <v>4323</v>
      </c>
    </row>
    <row r="36" spans="1:12" ht="16.5" customHeight="1" x14ac:dyDescent="0.25">
      <c r="A36" s="48" t="s">
        <v>41</v>
      </c>
      <c r="B36" s="49">
        <f>1500+1971</f>
        <v>3471</v>
      </c>
      <c r="C36" s="50">
        <v>751</v>
      </c>
      <c r="D36" s="51">
        <f t="shared" si="0"/>
        <v>3.4946486738017679</v>
      </c>
      <c r="E36" s="50">
        <v>592</v>
      </c>
      <c r="F36" s="52">
        <f t="shared" si="1"/>
        <v>78.82822902796272</v>
      </c>
      <c r="G36" s="53">
        <f t="shared" si="2"/>
        <v>4.6218375499334217</v>
      </c>
      <c r="J36" s="42">
        <v>21490</v>
      </c>
    </row>
    <row r="37" spans="1:12" ht="16.5" customHeight="1" x14ac:dyDescent="0.25">
      <c r="A37" s="48" t="s">
        <v>42</v>
      </c>
      <c r="B37" s="49">
        <f>670+1504</f>
        <v>2174</v>
      </c>
      <c r="C37" s="50">
        <v>1311</v>
      </c>
      <c r="D37" s="51">
        <f t="shared" si="0"/>
        <v>16.338484546360917</v>
      </c>
      <c r="E37" s="50">
        <v>283</v>
      </c>
      <c r="F37" s="52">
        <f t="shared" si="1"/>
        <v>21.586575133485887</v>
      </c>
      <c r="G37" s="53">
        <f t="shared" si="2"/>
        <v>1.6582761250953471</v>
      </c>
      <c r="J37" s="42">
        <v>8024</v>
      </c>
    </row>
    <row r="38" spans="1:12" ht="16.5" customHeight="1" x14ac:dyDescent="0.25">
      <c r="A38" s="48" t="s">
        <v>43</v>
      </c>
      <c r="B38" s="49">
        <f>1318+2711</f>
        <v>4029</v>
      </c>
      <c r="C38" s="50">
        <v>2709</v>
      </c>
      <c r="D38" s="51">
        <f t="shared" si="0"/>
        <v>21.374467413602652</v>
      </c>
      <c r="E38" s="50">
        <v>583</v>
      </c>
      <c r="F38" s="52">
        <f t="shared" si="1"/>
        <v>21.520856404577334</v>
      </c>
      <c r="G38" s="53">
        <f t="shared" si="2"/>
        <v>1.4872646733111849</v>
      </c>
      <c r="J38" s="42">
        <v>12674</v>
      </c>
    </row>
    <row r="39" spans="1:12" ht="16.5" customHeight="1" x14ac:dyDescent="0.25">
      <c r="A39" s="48" t="s">
        <v>44</v>
      </c>
      <c r="B39" s="49">
        <f>2340+4708</f>
        <v>7048</v>
      </c>
      <c r="C39" s="50">
        <v>3737</v>
      </c>
      <c r="D39" s="51">
        <f t="shared" si="0"/>
        <v>16.366662287040686</v>
      </c>
      <c r="E39" s="58">
        <v>1200</v>
      </c>
      <c r="F39" s="52">
        <f t="shared" si="1"/>
        <v>32.11131924003211</v>
      </c>
      <c r="G39" s="53">
        <f t="shared" si="2"/>
        <v>1.886004816697886</v>
      </c>
      <c r="J39" s="42">
        <v>22833</v>
      </c>
    </row>
    <row r="40" spans="1:12" s="2" customFormat="1" ht="16.5" customHeight="1" x14ac:dyDescent="0.25">
      <c r="A40" s="5" t="s">
        <v>45</v>
      </c>
      <c r="B40" s="36">
        <f>+B41+B45</f>
        <v>7289</v>
      </c>
      <c r="C40" s="59">
        <f>+C41+C45</f>
        <v>4675</v>
      </c>
      <c r="D40" s="46">
        <f t="shared" si="0"/>
        <v>6.6865953429830078</v>
      </c>
      <c r="E40" s="60">
        <f>+E41+E45</f>
        <v>461</v>
      </c>
      <c r="F40" s="40">
        <f t="shared" si="1"/>
        <v>9.8609625668449183</v>
      </c>
      <c r="G40" s="41">
        <f t="shared" si="2"/>
        <v>1.5591443850267379</v>
      </c>
      <c r="I40" s="3"/>
      <c r="J40" s="2">
        <v>69916</v>
      </c>
      <c r="L40" s="2">
        <f>1778+5511</f>
        <v>7289</v>
      </c>
    </row>
    <row r="41" spans="1:12" x14ac:dyDescent="0.25">
      <c r="A41" s="5" t="s">
        <v>46</v>
      </c>
      <c r="B41" s="36">
        <f>SUM(B42:B44)</f>
        <v>4767</v>
      </c>
      <c r="C41" s="45">
        <f>SUM(C42:C44)</f>
        <v>4010</v>
      </c>
      <c r="D41" s="46">
        <f t="shared" si="0"/>
        <v>7.0174824562938598</v>
      </c>
      <c r="E41" s="39">
        <f>SUM(E42:E44)</f>
        <v>461</v>
      </c>
      <c r="F41" s="40">
        <f t="shared" si="1"/>
        <v>11.496259351620948</v>
      </c>
      <c r="G41" s="41">
        <f t="shared" si="2"/>
        <v>1.1887780548628428</v>
      </c>
      <c r="I41" s="47"/>
      <c r="J41" s="42">
        <v>57143</v>
      </c>
    </row>
    <row r="42" spans="1:12" ht="16.5" customHeight="1" x14ac:dyDescent="0.25">
      <c r="A42" s="48" t="s">
        <v>47</v>
      </c>
      <c r="B42" s="49">
        <f>272+1008</f>
        <v>1280</v>
      </c>
      <c r="C42" s="50">
        <v>2041</v>
      </c>
      <c r="D42" s="51">
        <f t="shared" si="0"/>
        <v>14.358072458670417</v>
      </c>
      <c r="E42" s="50">
        <v>56</v>
      </c>
      <c r="F42" s="52">
        <f t="shared" si="1"/>
        <v>2.7437530622243997</v>
      </c>
      <c r="G42" s="53">
        <f t="shared" si="2"/>
        <v>0.6271435570798628</v>
      </c>
      <c r="I42" s="54"/>
      <c r="J42" s="42">
        <v>14215</v>
      </c>
    </row>
    <row r="43" spans="1:12" ht="16.5" customHeight="1" x14ac:dyDescent="0.25">
      <c r="A43" s="48" t="s">
        <v>48</v>
      </c>
      <c r="B43" s="49">
        <f>516+1532</f>
        <v>2048</v>
      </c>
      <c r="C43" s="50">
        <v>1418</v>
      </c>
      <c r="D43" s="51">
        <f t="shared" si="0"/>
        <v>5.4204892966360854</v>
      </c>
      <c r="E43" s="50">
        <v>405</v>
      </c>
      <c r="F43" s="52">
        <f t="shared" si="1"/>
        <v>28.561354019746123</v>
      </c>
      <c r="G43" s="53">
        <f t="shared" si="2"/>
        <v>1.4442877291960508</v>
      </c>
      <c r="I43" s="54"/>
      <c r="J43" s="42">
        <v>26160</v>
      </c>
    </row>
    <row r="44" spans="1:12" ht="16.5" customHeight="1" x14ac:dyDescent="0.25">
      <c r="A44" s="48" t="s">
        <v>49</v>
      </c>
      <c r="B44" s="49">
        <f>468+971</f>
        <v>1439</v>
      </c>
      <c r="C44" s="50">
        <v>551</v>
      </c>
      <c r="D44" s="51">
        <f t="shared" si="0"/>
        <v>3.2860209923664119</v>
      </c>
      <c r="E44" s="50">
        <v>0</v>
      </c>
      <c r="F44" s="52">
        <f t="shared" si="1"/>
        <v>0</v>
      </c>
      <c r="G44" s="53">
        <f t="shared" si="2"/>
        <v>2.6116152450090744</v>
      </c>
      <c r="I44" s="54"/>
      <c r="J44" s="42">
        <v>16768</v>
      </c>
    </row>
    <row r="45" spans="1:12" ht="16.5" customHeight="1" x14ac:dyDescent="0.25">
      <c r="A45" s="61" t="s">
        <v>50</v>
      </c>
      <c r="B45" s="36">
        <f>SUM(B46:B47)</f>
        <v>2522</v>
      </c>
      <c r="C45" s="62">
        <f>SUM(C46:C47)</f>
        <v>665</v>
      </c>
      <c r="D45" s="46">
        <f t="shared" si="0"/>
        <v>5.2062945275189856</v>
      </c>
      <c r="E45" s="62">
        <v>0</v>
      </c>
      <c r="F45" s="63">
        <f t="shared" si="1"/>
        <v>0</v>
      </c>
      <c r="G45" s="41">
        <f t="shared" si="2"/>
        <v>3.7924812030075188</v>
      </c>
      <c r="I45" s="54"/>
      <c r="J45" s="42">
        <v>12773</v>
      </c>
    </row>
    <row r="46" spans="1:12" ht="16.5" customHeight="1" x14ac:dyDescent="0.25">
      <c r="A46" s="48" t="s">
        <v>51</v>
      </c>
      <c r="B46" s="49">
        <f>163+893</f>
        <v>1056</v>
      </c>
      <c r="C46" s="64">
        <v>665</v>
      </c>
      <c r="D46" s="51">
        <f t="shared" si="0"/>
        <v>6.7857142857142856</v>
      </c>
      <c r="E46" s="64">
        <v>0</v>
      </c>
      <c r="F46" s="65">
        <f t="shared" si="1"/>
        <v>0</v>
      </c>
      <c r="G46" s="53">
        <f t="shared" si="2"/>
        <v>1.58796992481203</v>
      </c>
      <c r="I46" s="54"/>
      <c r="J46" s="42">
        <v>9800</v>
      </c>
    </row>
    <row r="47" spans="1:12" ht="16.5" customHeight="1" thickBot="1" x14ac:dyDescent="0.3">
      <c r="A47" s="66" t="s">
        <v>52</v>
      </c>
      <c r="B47" s="67">
        <f>359+1107</f>
        <v>1466</v>
      </c>
      <c r="C47" s="68">
        <v>0</v>
      </c>
      <c r="D47" s="69">
        <f t="shared" si="0"/>
        <v>0</v>
      </c>
      <c r="E47" s="68">
        <v>0</v>
      </c>
      <c r="F47" s="70">
        <v>0</v>
      </c>
      <c r="G47" s="71">
        <v>0</v>
      </c>
      <c r="I47" s="54"/>
      <c r="J47" s="42">
        <v>2973</v>
      </c>
    </row>
    <row r="48" spans="1:12" s="2" customFormat="1" ht="16.5" customHeight="1" thickTop="1" x14ac:dyDescent="0.25">
      <c r="A48" s="1" t="s">
        <v>0</v>
      </c>
      <c r="B48" s="1"/>
      <c r="C48" s="1"/>
      <c r="D48" s="1"/>
      <c r="E48" s="1"/>
      <c r="F48" s="1"/>
      <c r="G48" s="1"/>
      <c r="H48" s="72"/>
      <c r="I48" s="47"/>
    </row>
    <row r="49" spans="1:12" s="2" customFormat="1" ht="16.5" customHeight="1" x14ac:dyDescent="0.25">
      <c r="A49" s="1" t="s">
        <v>1</v>
      </c>
      <c r="B49" s="1"/>
      <c r="C49" s="4"/>
      <c r="D49" s="4"/>
      <c r="E49" s="4"/>
      <c r="F49" s="4"/>
      <c r="G49" s="4"/>
      <c r="H49" s="72"/>
      <c r="I49" s="47"/>
    </row>
    <row r="50" spans="1:12" s="2" customFormat="1" ht="14.25" customHeight="1" thickBot="1" x14ac:dyDescent="0.3">
      <c r="A50" s="73" t="s">
        <v>53</v>
      </c>
      <c r="B50" s="73"/>
      <c r="C50" s="73"/>
      <c r="D50" s="73"/>
      <c r="E50" s="73"/>
      <c r="F50" s="73"/>
      <c r="G50" s="73"/>
      <c r="H50" s="72"/>
      <c r="I50" s="47"/>
    </row>
    <row r="51" spans="1:12" s="2" customFormat="1" ht="16.5" customHeight="1" x14ac:dyDescent="0.25">
      <c r="A51" s="9" t="s">
        <v>2</v>
      </c>
      <c r="B51" s="10" t="s">
        <v>3</v>
      </c>
      <c r="C51" s="11" t="s">
        <v>4</v>
      </c>
      <c r="D51" s="12"/>
      <c r="E51" s="13" t="s">
        <v>5</v>
      </c>
      <c r="F51" s="14"/>
      <c r="G51" s="15" t="s">
        <v>6</v>
      </c>
      <c r="H51" s="72"/>
      <c r="I51" s="47"/>
    </row>
    <row r="52" spans="1:12" s="2" customFormat="1" ht="16.5" customHeight="1" x14ac:dyDescent="0.25">
      <c r="A52" s="18"/>
      <c r="B52" s="19"/>
      <c r="C52" s="20"/>
      <c r="D52" s="21"/>
      <c r="E52" s="22" t="s">
        <v>7</v>
      </c>
      <c r="F52" s="23" t="s">
        <v>8</v>
      </c>
      <c r="G52" s="24"/>
      <c r="H52" s="72"/>
      <c r="I52" s="47"/>
    </row>
    <row r="53" spans="1:12" s="2" customFormat="1" ht="32.25" thickBot="1" x14ac:dyDescent="0.3">
      <c r="A53" s="27"/>
      <c r="B53" s="28"/>
      <c r="C53" s="29" t="s">
        <v>9</v>
      </c>
      <c r="D53" s="30" t="s">
        <v>10</v>
      </c>
      <c r="E53" s="31"/>
      <c r="F53" s="32"/>
      <c r="G53" s="33"/>
      <c r="H53" s="72"/>
      <c r="I53" s="47"/>
    </row>
    <row r="54" spans="1:12" x14ac:dyDescent="0.25">
      <c r="A54" s="5" t="s">
        <v>54</v>
      </c>
      <c r="B54" s="36">
        <f>SUM(B55:B61)</f>
        <v>54687</v>
      </c>
      <c r="C54" s="56">
        <f>SUM(C55:C61)</f>
        <v>34349</v>
      </c>
      <c r="D54" s="38">
        <f t="shared" ref="D54:D91" si="3">+C54/J54*100</f>
        <v>28.897488747739033</v>
      </c>
      <c r="E54" s="39">
        <f>SUM(E55:E61)</f>
        <v>9749</v>
      </c>
      <c r="F54" s="40">
        <f t="shared" ref="F54:F91" si="4">+E54/C54*100</f>
        <v>28.382194532591924</v>
      </c>
      <c r="G54" s="41">
        <f t="shared" ref="G54:G91" si="5">+B54/C54</f>
        <v>1.5920987510553437</v>
      </c>
      <c r="I54" s="47"/>
      <c r="J54" s="42">
        <v>118865</v>
      </c>
      <c r="L54" s="42">
        <f>34138+20549</f>
        <v>54687</v>
      </c>
    </row>
    <row r="55" spans="1:12" ht="16.5" customHeight="1" x14ac:dyDescent="0.25">
      <c r="A55" s="48" t="s">
        <v>55</v>
      </c>
      <c r="B55" s="74">
        <f>18650+7887</f>
        <v>26537</v>
      </c>
      <c r="C55" s="64">
        <v>15421</v>
      </c>
      <c r="D55" s="75">
        <f t="shared" si="3"/>
        <v>27.305887560867642</v>
      </c>
      <c r="E55" s="64">
        <v>5325</v>
      </c>
      <c r="F55" s="52">
        <f t="shared" si="4"/>
        <v>34.530834576227221</v>
      </c>
      <c r="G55" s="53">
        <f t="shared" si="5"/>
        <v>1.7208352246935996</v>
      </c>
      <c r="I55" s="76"/>
      <c r="J55" s="42">
        <v>56475</v>
      </c>
    </row>
    <row r="56" spans="1:12" ht="16.5" customHeight="1" x14ac:dyDescent="0.25">
      <c r="A56" s="48" t="s">
        <v>56</v>
      </c>
      <c r="B56" s="74">
        <f>616+1728</f>
        <v>2344</v>
      </c>
      <c r="C56" s="64">
        <v>1600</v>
      </c>
      <c r="D56" s="75">
        <f t="shared" si="3"/>
        <v>20.637172707339094</v>
      </c>
      <c r="E56" s="64">
        <v>406</v>
      </c>
      <c r="F56" s="52">
        <f t="shared" si="4"/>
        <v>25.374999999999996</v>
      </c>
      <c r="G56" s="53">
        <f t="shared" si="5"/>
        <v>1.4650000000000001</v>
      </c>
      <c r="I56" s="76"/>
      <c r="J56" s="42">
        <v>7753</v>
      </c>
    </row>
    <row r="57" spans="1:12" ht="16.5" customHeight="1" x14ac:dyDescent="0.25">
      <c r="A57" s="48" t="s">
        <v>57</v>
      </c>
      <c r="B57" s="74">
        <f>653+1248</f>
        <v>1901</v>
      </c>
      <c r="C57" s="64">
        <v>1281</v>
      </c>
      <c r="D57" s="75">
        <f t="shared" si="3"/>
        <v>16.328871892925431</v>
      </c>
      <c r="E57" s="64">
        <v>268</v>
      </c>
      <c r="F57" s="52">
        <f t="shared" si="4"/>
        <v>20.921155347384857</v>
      </c>
      <c r="G57" s="53">
        <f t="shared" si="5"/>
        <v>1.4839968774395005</v>
      </c>
      <c r="I57" s="76"/>
      <c r="J57" s="42">
        <v>7845</v>
      </c>
    </row>
    <row r="58" spans="1:12" ht="16.5" customHeight="1" x14ac:dyDescent="0.25">
      <c r="A58" s="48" t="s">
        <v>58</v>
      </c>
      <c r="B58" s="74">
        <f>4589+4568</f>
        <v>9157</v>
      </c>
      <c r="C58" s="64">
        <v>5262</v>
      </c>
      <c r="D58" s="75">
        <f t="shared" si="3"/>
        <v>32.298060397741224</v>
      </c>
      <c r="E58" s="64">
        <v>1170</v>
      </c>
      <c r="F58" s="52">
        <f t="shared" si="4"/>
        <v>22.234891676168758</v>
      </c>
      <c r="G58" s="53">
        <f t="shared" si="5"/>
        <v>1.7402128468263018</v>
      </c>
      <c r="I58" s="76"/>
      <c r="J58" s="42">
        <v>16292</v>
      </c>
    </row>
    <row r="59" spans="1:12" ht="16.5" customHeight="1" x14ac:dyDescent="0.25">
      <c r="A59" s="48" t="s">
        <v>59</v>
      </c>
      <c r="B59" s="74">
        <f>2011+665</f>
        <v>2676</v>
      </c>
      <c r="C59" s="64">
        <v>1950</v>
      </c>
      <c r="D59" s="75">
        <f t="shared" si="3"/>
        <v>20.648030495552732</v>
      </c>
      <c r="E59" s="64">
        <v>529</v>
      </c>
      <c r="F59" s="52">
        <f t="shared" si="4"/>
        <v>27.128205128205131</v>
      </c>
      <c r="G59" s="53">
        <f t="shared" si="5"/>
        <v>1.3723076923076922</v>
      </c>
      <c r="I59" s="76"/>
      <c r="J59" s="42">
        <v>9444</v>
      </c>
    </row>
    <row r="60" spans="1:12" ht="16.5" customHeight="1" x14ac:dyDescent="0.25">
      <c r="A60" s="48" t="s">
        <v>60</v>
      </c>
      <c r="B60" s="74">
        <f>5397+3071</f>
        <v>8468</v>
      </c>
      <c r="C60" s="64">
        <v>6194</v>
      </c>
      <c r="D60" s="75">
        <f t="shared" si="3"/>
        <v>47.264402899656623</v>
      </c>
      <c r="E60" s="64">
        <v>1528</v>
      </c>
      <c r="F60" s="52">
        <f t="shared" si="4"/>
        <v>24.669034549564095</v>
      </c>
      <c r="G60" s="53">
        <f t="shared" si="5"/>
        <v>1.367129480142073</v>
      </c>
      <c r="I60" s="76"/>
      <c r="J60" s="42">
        <v>13105</v>
      </c>
    </row>
    <row r="61" spans="1:12" ht="16.5" customHeight="1" x14ac:dyDescent="0.25">
      <c r="A61" s="48" t="s">
        <v>61</v>
      </c>
      <c r="B61" s="74">
        <f>2222+1382</f>
        <v>3604</v>
      </c>
      <c r="C61" s="64">
        <v>2641</v>
      </c>
      <c r="D61" s="75">
        <f t="shared" si="3"/>
        <v>33.215947679537166</v>
      </c>
      <c r="E61" s="64">
        <v>523</v>
      </c>
      <c r="F61" s="52">
        <f t="shared" si="4"/>
        <v>19.803104884513441</v>
      </c>
      <c r="G61" s="53">
        <f t="shared" si="5"/>
        <v>1.3646346081029912</v>
      </c>
      <c r="I61" s="76"/>
      <c r="J61" s="42">
        <v>7951</v>
      </c>
    </row>
    <row r="62" spans="1:12" x14ac:dyDescent="0.25">
      <c r="A62" s="5" t="s">
        <v>62</v>
      </c>
      <c r="B62" s="36">
        <f>SUM(B63:B69)</f>
        <v>31375</v>
      </c>
      <c r="C62" s="77">
        <f>SUM(C63:C69)</f>
        <v>19808</v>
      </c>
      <c r="D62" s="78">
        <f t="shared" si="3"/>
        <v>20.732677412602051</v>
      </c>
      <c r="E62" s="79">
        <f>SUM(E63:E69)</f>
        <v>5627</v>
      </c>
      <c r="F62" s="40">
        <f t="shared" si="4"/>
        <v>28.407714054927304</v>
      </c>
      <c r="G62" s="41">
        <f t="shared" si="5"/>
        <v>1.5839559773828755</v>
      </c>
      <c r="I62" s="47"/>
      <c r="J62" s="42">
        <v>95540</v>
      </c>
      <c r="L62" s="42">
        <f>19059+12316</f>
        <v>31375</v>
      </c>
    </row>
    <row r="63" spans="1:12" ht="16.5" customHeight="1" x14ac:dyDescent="0.25">
      <c r="A63" s="48" t="s">
        <v>63</v>
      </c>
      <c r="B63" s="49">
        <f>2803+1993</f>
        <v>4796</v>
      </c>
      <c r="C63" s="64">
        <v>3408</v>
      </c>
      <c r="D63" s="75">
        <f t="shared" si="3"/>
        <v>30.622697457094077</v>
      </c>
      <c r="E63" s="50">
        <v>1344</v>
      </c>
      <c r="F63" s="52">
        <f t="shared" si="4"/>
        <v>39.436619718309856</v>
      </c>
      <c r="G63" s="53">
        <f t="shared" si="5"/>
        <v>1.4072769953051643</v>
      </c>
      <c r="J63" s="42">
        <v>11129</v>
      </c>
    </row>
    <row r="64" spans="1:12" ht="16.5" customHeight="1" x14ac:dyDescent="0.25">
      <c r="A64" s="48" t="s">
        <v>64</v>
      </c>
      <c r="B64" s="49">
        <f>5682+3428</f>
        <v>9110</v>
      </c>
      <c r="C64" s="64">
        <v>5916</v>
      </c>
      <c r="D64" s="75">
        <f t="shared" si="3"/>
        <v>20.042008266142691</v>
      </c>
      <c r="E64" s="50">
        <v>1560</v>
      </c>
      <c r="F64" s="52">
        <f t="shared" si="4"/>
        <v>26.369168356997974</v>
      </c>
      <c r="G64" s="53">
        <f t="shared" si="5"/>
        <v>1.5398918187964841</v>
      </c>
      <c r="J64" s="42">
        <v>29518</v>
      </c>
    </row>
    <row r="65" spans="1:12" ht="16.5" customHeight="1" x14ac:dyDescent="0.25">
      <c r="A65" s="48" t="s">
        <v>65</v>
      </c>
      <c r="B65" s="49">
        <f>7775+3865</f>
        <v>11640</v>
      </c>
      <c r="C65" s="64">
        <v>6301</v>
      </c>
      <c r="D65" s="75">
        <f t="shared" si="3"/>
        <v>23.065378138956</v>
      </c>
      <c r="E65" s="50">
        <v>1696</v>
      </c>
      <c r="F65" s="52">
        <f t="shared" si="4"/>
        <v>26.91636248214569</v>
      </c>
      <c r="G65" s="53">
        <f t="shared" si="5"/>
        <v>1.8473258212982067</v>
      </c>
      <c r="J65" s="42">
        <v>27318</v>
      </c>
    </row>
    <row r="66" spans="1:12" ht="16.5" customHeight="1" x14ac:dyDescent="0.25">
      <c r="A66" s="48" t="s">
        <v>66</v>
      </c>
      <c r="B66" s="49">
        <f>1681+1428</f>
        <v>3109</v>
      </c>
      <c r="C66" s="64">
        <v>1802</v>
      </c>
      <c r="D66" s="75">
        <f t="shared" si="3"/>
        <v>19.382596536517156</v>
      </c>
      <c r="E66" s="50">
        <v>480</v>
      </c>
      <c r="F66" s="52">
        <f t="shared" si="4"/>
        <v>26.637069922308548</v>
      </c>
      <c r="G66" s="53">
        <f t="shared" si="5"/>
        <v>1.7253052164261931</v>
      </c>
      <c r="J66" s="42">
        <v>9297</v>
      </c>
    </row>
    <row r="67" spans="1:12" ht="16.5" customHeight="1" x14ac:dyDescent="0.25">
      <c r="A67" s="48" t="s">
        <v>67</v>
      </c>
      <c r="B67" s="49">
        <f>338+178</f>
        <v>516</v>
      </c>
      <c r="C67" s="64">
        <v>451</v>
      </c>
      <c r="D67" s="75">
        <f t="shared" si="3"/>
        <v>9.6182554915760292</v>
      </c>
      <c r="E67" s="50">
        <v>210</v>
      </c>
      <c r="F67" s="52">
        <f t="shared" si="4"/>
        <v>46.563192904656319</v>
      </c>
      <c r="G67" s="53">
        <f t="shared" si="5"/>
        <v>1.1441241685144123</v>
      </c>
      <c r="J67" s="42">
        <v>4689</v>
      </c>
    </row>
    <row r="68" spans="1:12" ht="16.5" customHeight="1" x14ac:dyDescent="0.25">
      <c r="A68" s="48" t="s">
        <v>68</v>
      </c>
      <c r="B68" s="49">
        <f>93+22</f>
        <v>115</v>
      </c>
      <c r="C68" s="64">
        <v>91</v>
      </c>
      <c r="D68" s="75">
        <f t="shared" si="3"/>
        <v>2.6202130722718113</v>
      </c>
      <c r="E68" s="50">
        <v>42</v>
      </c>
      <c r="F68" s="52">
        <f t="shared" si="4"/>
        <v>46.153846153846153</v>
      </c>
      <c r="G68" s="53">
        <f t="shared" si="5"/>
        <v>1.2637362637362637</v>
      </c>
      <c r="J68" s="42">
        <v>3473</v>
      </c>
    </row>
    <row r="69" spans="1:12" ht="16.5" customHeight="1" x14ac:dyDescent="0.25">
      <c r="A69" s="48" t="s">
        <v>69</v>
      </c>
      <c r="B69" s="49">
        <f>687+1402</f>
        <v>2089</v>
      </c>
      <c r="C69" s="64">
        <v>1839</v>
      </c>
      <c r="D69" s="75">
        <f t="shared" si="3"/>
        <v>18.179122182680903</v>
      </c>
      <c r="E69" s="50">
        <v>295</v>
      </c>
      <c r="F69" s="52">
        <f t="shared" si="4"/>
        <v>16.041326808047852</v>
      </c>
      <c r="G69" s="53">
        <f t="shared" si="5"/>
        <v>1.1359434475258292</v>
      </c>
      <c r="J69" s="42">
        <v>10116</v>
      </c>
    </row>
    <row r="70" spans="1:12" x14ac:dyDescent="0.25">
      <c r="A70" s="5" t="s">
        <v>70</v>
      </c>
      <c r="B70" s="36">
        <f>SUM(B71:B76)</f>
        <v>289577</v>
      </c>
      <c r="C70" s="77">
        <f>SUM(C71:C76)</f>
        <v>234692</v>
      </c>
      <c r="D70" s="78">
        <f t="shared" si="3"/>
        <v>14.430383171398461</v>
      </c>
      <c r="E70" s="79">
        <v>79522</v>
      </c>
      <c r="F70" s="40">
        <f t="shared" si="4"/>
        <v>33.883558024985938</v>
      </c>
      <c r="G70" s="41">
        <f t="shared" si="5"/>
        <v>1.2338596969645323</v>
      </c>
      <c r="I70" s="47">
        <v>333233</v>
      </c>
      <c r="J70" s="42">
        <v>1626374</v>
      </c>
    </row>
    <row r="71" spans="1:12" ht="16.5" customHeight="1" x14ac:dyDescent="0.25">
      <c r="A71" s="48" t="s">
        <v>71</v>
      </c>
      <c r="B71" s="74">
        <f>124+835</f>
        <v>959</v>
      </c>
      <c r="C71" s="64">
        <v>749</v>
      </c>
      <c r="D71" s="75">
        <f t="shared" si="3"/>
        <v>22.478991596638657</v>
      </c>
      <c r="E71" s="50">
        <v>97</v>
      </c>
      <c r="F71" s="52">
        <f t="shared" si="4"/>
        <v>12.950600801068092</v>
      </c>
      <c r="G71" s="53">
        <f t="shared" si="5"/>
        <v>1.280373831775701</v>
      </c>
      <c r="I71" s="80"/>
      <c r="J71" s="42">
        <v>3332</v>
      </c>
    </row>
    <row r="72" spans="1:12" ht="16.5" customHeight="1" x14ac:dyDescent="0.25">
      <c r="A72" s="48" t="s">
        <v>72</v>
      </c>
      <c r="B72" s="49">
        <f>3801+5913</f>
        <v>9714</v>
      </c>
      <c r="C72" s="64">
        <v>6522</v>
      </c>
      <c r="D72" s="75">
        <f t="shared" si="3"/>
        <v>10.983126199858544</v>
      </c>
      <c r="E72" s="50">
        <v>1294</v>
      </c>
      <c r="F72" s="52">
        <f t="shared" si="4"/>
        <v>19.840539711744864</v>
      </c>
      <c r="G72" s="53">
        <f t="shared" si="5"/>
        <v>1.4894204231830728</v>
      </c>
      <c r="I72" s="54"/>
      <c r="J72" s="42">
        <v>59382</v>
      </c>
    </row>
    <row r="73" spans="1:12" ht="16.5" customHeight="1" x14ac:dyDescent="0.25">
      <c r="A73" s="48" t="s">
        <v>73</v>
      </c>
      <c r="B73" s="74">
        <f>103+640</f>
        <v>743</v>
      </c>
      <c r="C73" s="64">
        <v>535</v>
      </c>
      <c r="D73" s="75">
        <f t="shared" si="3"/>
        <v>15.151515151515152</v>
      </c>
      <c r="E73" s="50">
        <v>54</v>
      </c>
      <c r="F73" s="52">
        <f t="shared" si="4"/>
        <v>10.093457943925234</v>
      </c>
      <c r="G73" s="53">
        <f t="shared" si="5"/>
        <v>1.388785046728972</v>
      </c>
      <c r="I73" s="80"/>
      <c r="J73" s="42">
        <v>3531</v>
      </c>
    </row>
    <row r="74" spans="1:12" ht="16.5" customHeight="1" x14ac:dyDescent="0.25">
      <c r="A74" s="48" t="s">
        <v>74</v>
      </c>
      <c r="B74" s="74">
        <f>6769+6429+70556+94275+6961+23687</f>
        <v>208677</v>
      </c>
      <c r="C74" s="64">
        <f>7798+138639+24200</f>
        <v>170637</v>
      </c>
      <c r="D74" s="75">
        <f t="shared" si="3"/>
        <v>14.420032230994995</v>
      </c>
      <c r="E74" s="50">
        <v>55781</v>
      </c>
      <c r="F74" s="52">
        <f t="shared" si="4"/>
        <v>32.689862104936211</v>
      </c>
      <c r="G74" s="53">
        <f t="shared" si="5"/>
        <v>1.2229293763955063</v>
      </c>
      <c r="I74" s="81">
        <f>7798+138639+24200</f>
        <v>170637</v>
      </c>
      <c r="J74" s="42">
        <f>50354+6755+845861+280363</f>
        <v>1183333</v>
      </c>
    </row>
    <row r="75" spans="1:12" ht="16.5" customHeight="1" x14ac:dyDescent="0.25">
      <c r="A75" s="82" t="s">
        <v>75</v>
      </c>
      <c r="B75" s="83">
        <f>22156+46587</f>
        <v>68743</v>
      </c>
      <c r="C75" s="64">
        <v>55855</v>
      </c>
      <c r="D75" s="75">
        <f t="shared" si="3"/>
        <v>14.878439248925837</v>
      </c>
      <c r="E75" s="50">
        <v>22227</v>
      </c>
      <c r="F75" s="52">
        <f t="shared" si="4"/>
        <v>39.794109748455824</v>
      </c>
      <c r="G75" s="53">
        <f t="shared" si="5"/>
        <v>1.2307403097305523</v>
      </c>
      <c r="I75" s="84"/>
      <c r="J75" s="42">
        <v>375409</v>
      </c>
    </row>
    <row r="76" spans="1:12" ht="16.5" customHeight="1" x14ac:dyDescent="0.25">
      <c r="A76" s="48" t="s">
        <v>76</v>
      </c>
      <c r="B76" s="49">
        <f>306+435</f>
        <v>741</v>
      </c>
      <c r="C76" s="64">
        <v>394</v>
      </c>
      <c r="D76" s="75">
        <f t="shared" si="3"/>
        <v>28.406633020908433</v>
      </c>
      <c r="E76" s="50">
        <v>69</v>
      </c>
      <c r="F76" s="52">
        <f t="shared" si="4"/>
        <v>17.512690355329948</v>
      </c>
      <c r="G76" s="53">
        <f t="shared" si="5"/>
        <v>1.8807106598984771</v>
      </c>
      <c r="I76" s="80"/>
      <c r="J76" s="42">
        <v>1387</v>
      </c>
    </row>
    <row r="77" spans="1:12" ht="16.5" customHeight="1" x14ac:dyDescent="0.25">
      <c r="A77" s="85" t="s">
        <v>77</v>
      </c>
      <c r="B77" s="36">
        <f>10797+13817</f>
        <v>24614</v>
      </c>
      <c r="C77" s="45">
        <v>15604</v>
      </c>
      <c r="D77" s="86">
        <f t="shared" si="3"/>
        <v>12.649772200333997</v>
      </c>
      <c r="E77" s="79">
        <v>3767</v>
      </c>
      <c r="F77" s="40">
        <f t="shared" si="4"/>
        <v>24.141245834401438</v>
      </c>
      <c r="G77" s="41">
        <f t="shared" si="5"/>
        <v>1.577416047167393</v>
      </c>
      <c r="I77" s="47">
        <v>24614</v>
      </c>
      <c r="J77" s="42">
        <v>123354</v>
      </c>
    </row>
    <row r="78" spans="1:12" ht="16.5" customHeight="1" x14ac:dyDescent="0.25">
      <c r="A78" s="87" t="s">
        <v>78</v>
      </c>
      <c r="B78" s="36">
        <f>20488+50265</f>
        <v>70753</v>
      </c>
      <c r="C78" s="45">
        <v>51380</v>
      </c>
      <c r="D78" s="86">
        <f t="shared" si="3"/>
        <v>8.9187608164710657</v>
      </c>
      <c r="E78" s="79">
        <v>21656</v>
      </c>
      <c r="F78" s="40">
        <f t="shared" si="4"/>
        <v>42.148695990657842</v>
      </c>
      <c r="G78" s="41">
        <f t="shared" si="5"/>
        <v>1.3770533281432464</v>
      </c>
      <c r="I78" s="47">
        <v>70753</v>
      </c>
      <c r="J78" s="42">
        <v>576089</v>
      </c>
    </row>
    <row r="79" spans="1:12" ht="16.5" customHeight="1" x14ac:dyDescent="0.25">
      <c r="A79" s="87" t="s">
        <v>79</v>
      </c>
      <c r="B79" s="36">
        <f>72469+96654</f>
        <v>169123</v>
      </c>
      <c r="C79" s="45">
        <v>141892</v>
      </c>
      <c r="D79" s="86">
        <f t="shared" si="3"/>
        <v>16.315557686624743</v>
      </c>
      <c r="E79" s="79">
        <v>45300</v>
      </c>
      <c r="F79" s="40">
        <f t="shared" si="4"/>
        <v>31.925689961379078</v>
      </c>
      <c r="G79" s="41">
        <f t="shared" si="5"/>
        <v>1.1919135680658528</v>
      </c>
      <c r="I79" s="47">
        <v>169123</v>
      </c>
      <c r="J79" s="42">
        <v>869673</v>
      </c>
      <c r="L79" s="42">
        <v>22425</v>
      </c>
    </row>
    <row r="80" spans="1:12" ht="16.5" customHeight="1" x14ac:dyDescent="0.25">
      <c r="A80" s="87" t="s">
        <v>80</v>
      </c>
      <c r="B80" s="36">
        <f>6961+23687</f>
        <v>30648</v>
      </c>
      <c r="C80" s="45">
        <v>24200</v>
      </c>
      <c r="D80" s="86">
        <f t="shared" si="3"/>
        <v>8.6316668033941717</v>
      </c>
      <c r="E80" s="79">
        <v>8605</v>
      </c>
      <c r="F80" s="40">
        <f t="shared" si="4"/>
        <v>35.557851239669418</v>
      </c>
      <c r="G80" s="41">
        <f t="shared" si="5"/>
        <v>1.2664462809917356</v>
      </c>
      <c r="I80" s="47"/>
      <c r="J80" s="42">
        <v>280363</v>
      </c>
    </row>
    <row r="81" spans="1:12" x14ac:dyDescent="0.25">
      <c r="A81" s="87" t="s">
        <v>81</v>
      </c>
      <c r="B81" s="36">
        <f>22156+46587</f>
        <v>68743</v>
      </c>
      <c r="C81" s="45">
        <v>55855</v>
      </c>
      <c r="D81" s="86">
        <f t="shared" si="3"/>
        <v>14.878439248925837</v>
      </c>
      <c r="E81" s="79">
        <v>22227</v>
      </c>
      <c r="F81" s="40">
        <f t="shared" si="4"/>
        <v>39.794109748455824</v>
      </c>
      <c r="G81" s="41">
        <f t="shared" si="5"/>
        <v>1.2307403097305523</v>
      </c>
      <c r="I81" s="47">
        <v>68743</v>
      </c>
      <c r="J81" s="42">
        <v>375409</v>
      </c>
    </row>
    <row r="82" spans="1:12" x14ac:dyDescent="0.25">
      <c r="A82" s="5" t="s">
        <v>82</v>
      </c>
      <c r="B82" s="36">
        <f>+B83+B84+B85+B86+B87+B88+B89+B90+B91+B99+B100+B101</f>
        <v>61309</v>
      </c>
      <c r="C82" s="45">
        <f>+C83+C84+C85+C86+C87+C88+C89+C90+C91+C99+C100+C101</f>
        <v>40177</v>
      </c>
      <c r="D82" s="86">
        <f t="shared" si="3"/>
        <v>16.223692074106378</v>
      </c>
      <c r="E82" s="79">
        <f>+E83+E84+E85+E86+E87+E88+E89+E90+E91+E99+E100+E101</f>
        <v>14578</v>
      </c>
      <c r="F82" s="40">
        <f t="shared" si="4"/>
        <v>36.284441347039355</v>
      </c>
      <c r="G82" s="41">
        <f t="shared" si="5"/>
        <v>1.5259725713716803</v>
      </c>
      <c r="I82" s="47"/>
      <c r="J82" s="42">
        <v>247644</v>
      </c>
      <c r="L82" s="42">
        <f>17823+43486</f>
        <v>61309</v>
      </c>
    </row>
    <row r="83" spans="1:12" ht="16.5" customHeight="1" x14ac:dyDescent="0.25">
      <c r="A83" s="48" t="s">
        <v>83</v>
      </c>
      <c r="B83" s="49">
        <f>1340+2082</f>
        <v>3422</v>
      </c>
      <c r="C83" s="50">
        <v>2404</v>
      </c>
      <c r="D83" s="88">
        <f t="shared" si="3"/>
        <v>21.234873244413038</v>
      </c>
      <c r="E83" s="50">
        <v>592</v>
      </c>
      <c r="F83" s="52">
        <f t="shared" si="4"/>
        <v>24.625623960066555</v>
      </c>
      <c r="G83" s="53">
        <f t="shared" si="5"/>
        <v>1.4234608985024959</v>
      </c>
      <c r="I83" s="54"/>
      <c r="J83" s="42">
        <v>11321</v>
      </c>
    </row>
    <row r="84" spans="1:12" ht="16.5" customHeight="1" x14ac:dyDescent="0.25">
      <c r="A84" s="48" t="s">
        <v>84</v>
      </c>
      <c r="B84" s="49">
        <f>892+2110</f>
        <v>3002</v>
      </c>
      <c r="C84" s="50">
        <v>1283</v>
      </c>
      <c r="D84" s="88">
        <f t="shared" si="3"/>
        <v>10.551854593305372</v>
      </c>
      <c r="E84" s="50">
        <v>525</v>
      </c>
      <c r="F84" s="52">
        <f t="shared" si="4"/>
        <v>40.919719407638347</v>
      </c>
      <c r="G84" s="53">
        <f t="shared" si="5"/>
        <v>2.3398285268901011</v>
      </c>
      <c r="I84" s="54"/>
      <c r="J84" s="42">
        <v>12159</v>
      </c>
    </row>
    <row r="85" spans="1:12" ht="16.5" customHeight="1" x14ac:dyDescent="0.25">
      <c r="A85" s="48" t="s">
        <v>85</v>
      </c>
      <c r="B85" s="49">
        <f>303+4369</f>
        <v>4672</v>
      </c>
      <c r="C85" s="50">
        <v>3560</v>
      </c>
      <c r="D85" s="88">
        <f t="shared" si="3"/>
        <v>19.75363444678726</v>
      </c>
      <c r="E85" s="50">
        <v>1362</v>
      </c>
      <c r="F85" s="52">
        <f t="shared" si="4"/>
        <v>38.258426966292134</v>
      </c>
      <c r="G85" s="53">
        <f t="shared" si="5"/>
        <v>1.3123595505617978</v>
      </c>
      <c r="I85" s="54"/>
      <c r="J85" s="42">
        <v>18022</v>
      </c>
    </row>
    <row r="86" spans="1:12" ht="16.5" customHeight="1" x14ac:dyDescent="0.25">
      <c r="A86" s="48" t="s">
        <v>86</v>
      </c>
      <c r="B86" s="49">
        <f>1168+1934</f>
        <v>3102</v>
      </c>
      <c r="C86" s="50">
        <v>1802</v>
      </c>
      <c r="D86" s="88">
        <f t="shared" si="3"/>
        <v>14.951875207434451</v>
      </c>
      <c r="E86" s="50">
        <v>746</v>
      </c>
      <c r="F86" s="52">
        <f t="shared" si="4"/>
        <v>41.398446170921197</v>
      </c>
      <c r="G86" s="53">
        <f t="shared" si="5"/>
        <v>1.7214206437291897</v>
      </c>
      <c r="I86" s="54"/>
      <c r="J86" s="42">
        <v>12052</v>
      </c>
    </row>
    <row r="87" spans="1:12" ht="16.5" customHeight="1" x14ac:dyDescent="0.25">
      <c r="A87" s="48" t="s">
        <v>87</v>
      </c>
      <c r="B87" s="49">
        <f>1072+3789</f>
        <v>4861</v>
      </c>
      <c r="C87" s="50">
        <v>2998</v>
      </c>
      <c r="D87" s="88">
        <f t="shared" si="3"/>
        <v>16.211539501432977</v>
      </c>
      <c r="E87" s="50">
        <v>1181</v>
      </c>
      <c r="F87" s="52">
        <f t="shared" si="4"/>
        <v>39.392928619079385</v>
      </c>
      <c r="G87" s="53">
        <f t="shared" si="5"/>
        <v>1.6214142761841228</v>
      </c>
      <c r="I87" s="54"/>
      <c r="J87" s="42">
        <v>18493</v>
      </c>
    </row>
    <row r="88" spans="1:12" ht="16.5" customHeight="1" x14ac:dyDescent="0.25">
      <c r="A88" s="48" t="s">
        <v>88</v>
      </c>
      <c r="B88" s="49">
        <f>355+910</f>
        <v>1265</v>
      </c>
      <c r="C88" s="50">
        <v>895</v>
      </c>
      <c r="D88" s="88">
        <f t="shared" si="3"/>
        <v>16.085549964054639</v>
      </c>
      <c r="E88" s="50">
        <v>536</v>
      </c>
      <c r="F88" s="52">
        <f t="shared" si="4"/>
        <v>59.888268156424587</v>
      </c>
      <c r="G88" s="53">
        <f t="shared" si="5"/>
        <v>1.4134078212290502</v>
      </c>
      <c r="I88" s="54"/>
      <c r="J88" s="42">
        <v>5564</v>
      </c>
    </row>
    <row r="89" spans="1:12" ht="16.5" customHeight="1" x14ac:dyDescent="0.25">
      <c r="A89" s="48" t="s">
        <v>89</v>
      </c>
      <c r="B89" s="49">
        <f>1287+1495</f>
        <v>2782</v>
      </c>
      <c r="C89" s="50">
        <v>1905</v>
      </c>
      <c r="D89" s="88">
        <f t="shared" si="3"/>
        <v>26.983002832861192</v>
      </c>
      <c r="E89" s="50">
        <v>401</v>
      </c>
      <c r="F89" s="52">
        <f t="shared" si="4"/>
        <v>21.049868766404202</v>
      </c>
      <c r="G89" s="53">
        <f t="shared" si="5"/>
        <v>1.4603674540682414</v>
      </c>
      <c r="I89" s="54"/>
      <c r="J89" s="42">
        <v>7060</v>
      </c>
    </row>
    <row r="90" spans="1:12" ht="16.5" customHeight="1" x14ac:dyDescent="0.25">
      <c r="A90" s="48" t="s">
        <v>90</v>
      </c>
      <c r="B90" s="49">
        <f>808+1023</f>
        <v>1831</v>
      </c>
      <c r="C90" s="50">
        <v>1284</v>
      </c>
      <c r="D90" s="88">
        <f t="shared" si="3"/>
        <v>23.341210688965646</v>
      </c>
      <c r="E90" s="50">
        <v>542</v>
      </c>
      <c r="F90" s="52">
        <f t="shared" si="4"/>
        <v>42.211838006230529</v>
      </c>
      <c r="G90" s="53">
        <f t="shared" si="5"/>
        <v>1.42601246105919</v>
      </c>
      <c r="I90" s="54"/>
      <c r="J90" s="42">
        <v>5501</v>
      </c>
    </row>
    <row r="91" spans="1:12" ht="16.5" customHeight="1" thickBot="1" x14ac:dyDescent="0.3">
      <c r="A91" s="89" t="s">
        <v>91</v>
      </c>
      <c r="B91" s="67">
        <f>1277+2204</f>
        <v>3481</v>
      </c>
      <c r="C91" s="90">
        <v>2233</v>
      </c>
      <c r="D91" s="91">
        <f t="shared" si="3"/>
        <v>21.194001518602885</v>
      </c>
      <c r="E91" s="90">
        <v>430</v>
      </c>
      <c r="F91" s="92">
        <f t="shared" si="4"/>
        <v>19.256605463502016</v>
      </c>
      <c r="G91" s="71">
        <f t="shared" si="5"/>
        <v>1.5588893864755933</v>
      </c>
      <c r="I91" s="54"/>
      <c r="J91" s="42">
        <v>10536</v>
      </c>
    </row>
    <row r="92" spans="1:12" ht="16.5" customHeight="1" thickTop="1" x14ac:dyDescent="0.25">
      <c r="A92" s="1" t="s">
        <v>0</v>
      </c>
      <c r="B92" s="1"/>
      <c r="C92" s="1"/>
      <c r="D92" s="1"/>
      <c r="E92" s="1"/>
      <c r="F92" s="1"/>
      <c r="G92" s="1"/>
      <c r="H92" s="93"/>
      <c r="I92" s="54"/>
    </row>
    <row r="93" spans="1:12" ht="16.5" customHeight="1" x14ac:dyDescent="0.25">
      <c r="A93" s="1" t="s">
        <v>1</v>
      </c>
      <c r="B93" s="1"/>
      <c r="C93" s="4"/>
      <c r="D93" s="4"/>
      <c r="E93" s="4"/>
      <c r="F93" s="4"/>
      <c r="G93" s="4"/>
      <c r="H93" s="93"/>
      <c r="I93" s="54"/>
    </row>
    <row r="94" spans="1:12" ht="16.5" thickBot="1" x14ac:dyDescent="0.3">
      <c r="A94" s="73" t="s">
        <v>92</v>
      </c>
      <c r="B94" s="73"/>
      <c r="C94" s="73"/>
      <c r="D94" s="73"/>
      <c r="E94" s="73"/>
      <c r="F94" s="73"/>
      <c r="G94" s="73"/>
      <c r="H94" s="93"/>
      <c r="I94" s="54"/>
    </row>
    <row r="95" spans="1:12" ht="16.5" customHeight="1" x14ac:dyDescent="0.25">
      <c r="A95" s="94" t="s">
        <v>2</v>
      </c>
      <c r="B95" s="95" t="s">
        <v>3</v>
      </c>
      <c r="C95" s="96" t="s">
        <v>4</v>
      </c>
      <c r="D95" s="97"/>
      <c r="E95" s="98" t="s">
        <v>5</v>
      </c>
      <c r="F95" s="99"/>
      <c r="G95" s="100" t="s">
        <v>6</v>
      </c>
      <c r="H95" s="93"/>
      <c r="I95" s="54"/>
    </row>
    <row r="96" spans="1:12" ht="16.5" customHeight="1" x14ac:dyDescent="0.25">
      <c r="A96" s="101"/>
      <c r="B96" s="102"/>
      <c r="C96" s="103"/>
      <c r="D96" s="104"/>
      <c r="E96" s="105" t="s">
        <v>7</v>
      </c>
      <c r="F96" s="106" t="s">
        <v>8</v>
      </c>
      <c r="G96" s="107"/>
      <c r="H96" s="93"/>
      <c r="I96" s="54"/>
    </row>
    <row r="97" spans="1:12" ht="32.25" thickBot="1" x14ac:dyDescent="0.3">
      <c r="A97" s="108"/>
      <c r="B97" s="109"/>
      <c r="C97" s="110" t="s">
        <v>9</v>
      </c>
      <c r="D97" s="111" t="s">
        <v>10</v>
      </c>
      <c r="E97" s="112"/>
      <c r="F97" s="113"/>
      <c r="G97" s="114"/>
      <c r="H97" s="93"/>
      <c r="I97" s="54"/>
    </row>
    <row r="98" spans="1:12" ht="11.25" customHeight="1" x14ac:dyDescent="0.25">
      <c r="A98" s="115"/>
      <c r="B98" s="116"/>
      <c r="C98" s="117"/>
      <c r="D98" s="118"/>
      <c r="E98" s="119"/>
      <c r="F98" s="120"/>
      <c r="G98" s="121"/>
      <c r="H98" s="93"/>
      <c r="I98" s="54"/>
    </row>
    <row r="99" spans="1:12" ht="16.5" customHeight="1" x14ac:dyDescent="0.25">
      <c r="A99" s="48" t="s">
        <v>93</v>
      </c>
      <c r="B99" s="122">
        <f>685+2328</f>
        <v>3013</v>
      </c>
      <c r="C99" s="50">
        <v>1715</v>
      </c>
      <c r="D99" s="52">
        <f t="shared" ref="D99:D118" si="6">+C99/J99*100</f>
        <v>9.8898564096649562</v>
      </c>
      <c r="E99" s="50">
        <v>327</v>
      </c>
      <c r="F99" s="52">
        <f t="shared" ref="F99:F110" si="7">+E99/C99*100</f>
        <v>19.067055393586006</v>
      </c>
      <c r="G99" s="53">
        <f t="shared" ref="G99:G110" si="8">+B99/C99</f>
        <v>1.7568513119533529</v>
      </c>
      <c r="I99" s="54"/>
      <c r="J99" s="42">
        <v>17341</v>
      </c>
    </row>
    <row r="100" spans="1:12" ht="16.5" customHeight="1" x14ac:dyDescent="0.25">
      <c r="A100" s="48" t="s">
        <v>94</v>
      </c>
      <c r="B100" s="122">
        <f>7026+18565</f>
        <v>25591</v>
      </c>
      <c r="C100" s="50">
        <v>17444</v>
      </c>
      <c r="D100" s="52">
        <f t="shared" si="6"/>
        <v>17.475280752547061</v>
      </c>
      <c r="E100" s="50">
        <v>7166</v>
      </c>
      <c r="F100" s="52">
        <f t="shared" si="7"/>
        <v>41.080027516624625</v>
      </c>
      <c r="G100" s="53">
        <f t="shared" si="8"/>
        <v>1.4670373767484521</v>
      </c>
      <c r="I100" s="54"/>
      <c r="J100" s="42">
        <v>99821</v>
      </c>
    </row>
    <row r="101" spans="1:12" ht="16.5" customHeight="1" x14ac:dyDescent="0.25">
      <c r="A101" s="48" t="s">
        <v>95</v>
      </c>
      <c r="B101" s="122">
        <f>1610+2677</f>
        <v>4287</v>
      </c>
      <c r="C101" s="50">
        <v>2654</v>
      </c>
      <c r="D101" s="52">
        <f t="shared" si="6"/>
        <v>8.9138174245986423</v>
      </c>
      <c r="E101" s="50">
        <v>770</v>
      </c>
      <c r="F101" s="52">
        <f t="shared" si="7"/>
        <v>29.012810851544842</v>
      </c>
      <c r="G101" s="53">
        <f t="shared" si="8"/>
        <v>1.6152976639035419</v>
      </c>
      <c r="I101" s="54"/>
      <c r="J101" s="42">
        <v>29774</v>
      </c>
    </row>
    <row r="102" spans="1:12" x14ac:dyDescent="0.25">
      <c r="A102" s="5" t="s">
        <v>96</v>
      </c>
      <c r="B102" s="37">
        <f>363+4884</f>
        <v>5247</v>
      </c>
      <c r="C102" s="45">
        <v>3477</v>
      </c>
      <c r="D102" s="86">
        <f t="shared" si="6"/>
        <v>7.5150755398015869</v>
      </c>
      <c r="E102" s="79">
        <v>63</v>
      </c>
      <c r="F102" s="40">
        <f t="shared" si="7"/>
        <v>1.81190681622088</v>
      </c>
      <c r="G102" s="41">
        <f t="shared" si="8"/>
        <v>1.5090595340811044</v>
      </c>
      <c r="I102" s="47"/>
      <c r="J102" s="42">
        <v>46267</v>
      </c>
    </row>
    <row r="103" spans="1:12" x14ac:dyDescent="0.25">
      <c r="A103" s="5" t="s">
        <v>97</v>
      </c>
      <c r="B103" s="37">
        <f>SUM(B104:B112)</f>
        <v>18249</v>
      </c>
      <c r="C103" s="56">
        <f>SUM(C104:C112)</f>
        <v>14779</v>
      </c>
      <c r="D103" s="86">
        <f t="shared" si="6"/>
        <v>6.7391086264603146</v>
      </c>
      <c r="E103" s="79">
        <f>SUM(E104:E112)</f>
        <v>3183</v>
      </c>
      <c r="F103" s="40">
        <f t="shared" si="7"/>
        <v>21.537316462548212</v>
      </c>
      <c r="G103" s="41">
        <f t="shared" si="8"/>
        <v>1.2347926111374248</v>
      </c>
      <c r="I103" s="47"/>
      <c r="J103" s="42">
        <v>219302</v>
      </c>
      <c r="L103" s="42">
        <f>287+17962</f>
        <v>18249</v>
      </c>
    </row>
    <row r="104" spans="1:12" ht="16.5" customHeight="1" x14ac:dyDescent="0.25">
      <c r="A104" s="48" t="s">
        <v>98</v>
      </c>
      <c r="B104" s="122">
        <f>123+3401</f>
        <v>3524</v>
      </c>
      <c r="C104" s="50">
        <v>2464</v>
      </c>
      <c r="D104" s="52">
        <f t="shared" si="6"/>
        <v>7.2489776705598548</v>
      </c>
      <c r="E104" s="50">
        <v>464</v>
      </c>
      <c r="F104" s="52">
        <f t="shared" si="7"/>
        <v>18.831168831168831</v>
      </c>
      <c r="G104" s="53">
        <f t="shared" si="8"/>
        <v>1.4301948051948052</v>
      </c>
      <c r="I104" s="54"/>
      <c r="J104" s="42">
        <v>33991</v>
      </c>
    </row>
    <row r="105" spans="1:12" ht="16.5" customHeight="1" x14ac:dyDescent="0.25">
      <c r="A105" s="48" t="s">
        <v>99</v>
      </c>
      <c r="B105" s="122">
        <f>6+1775</f>
        <v>1781</v>
      </c>
      <c r="C105" s="50">
        <v>1652</v>
      </c>
      <c r="D105" s="52">
        <f t="shared" si="6"/>
        <v>7.5689544579858881</v>
      </c>
      <c r="E105" s="50">
        <v>566</v>
      </c>
      <c r="F105" s="52">
        <f t="shared" si="7"/>
        <v>34.261501210653755</v>
      </c>
      <c r="G105" s="53">
        <f t="shared" si="8"/>
        <v>1.0780871670702179</v>
      </c>
      <c r="I105" s="54"/>
      <c r="J105" s="42">
        <v>21826</v>
      </c>
    </row>
    <row r="106" spans="1:12" ht="16.5" customHeight="1" x14ac:dyDescent="0.25">
      <c r="A106" s="48" t="s">
        <v>100</v>
      </c>
      <c r="B106" s="122">
        <f>42+2174</f>
        <v>2216</v>
      </c>
      <c r="C106" s="50">
        <v>2010</v>
      </c>
      <c r="D106" s="52">
        <f t="shared" si="6"/>
        <v>4.505615207011723</v>
      </c>
      <c r="E106" s="50">
        <v>472</v>
      </c>
      <c r="F106" s="52">
        <f t="shared" si="7"/>
        <v>23.482587064676615</v>
      </c>
      <c r="G106" s="53">
        <f t="shared" si="8"/>
        <v>1.1024875621890546</v>
      </c>
      <c r="I106" s="54"/>
      <c r="J106" s="42">
        <v>44611</v>
      </c>
    </row>
    <row r="107" spans="1:12" ht="16.5" customHeight="1" x14ac:dyDescent="0.25">
      <c r="A107" s="48" t="s">
        <v>101</v>
      </c>
      <c r="B107" s="122">
        <f>48+3006</f>
        <v>3054</v>
      </c>
      <c r="C107" s="50">
        <v>2628</v>
      </c>
      <c r="D107" s="52">
        <f t="shared" si="6"/>
        <v>13.145258103241297</v>
      </c>
      <c r="E107" s="50">
        <v>572</v>
      </c>
      <c r="F107" s="52">
        <f t="shared" si="7"/>
        <v>21.765601217656013</v>
      </c>
      <c r="G107" s="53">
        <f t="shared" si="8"/>
        <v>1.1621004566210045</v>
      </c>
      <c r="I107" s="54"/>
      <c r="J107" s="42">
        <v>19992</v>
      </c>
    </row>
    <row r="108" spans="1:12" ht="16.5" customHeight="1" x14ac:dyDescent="0.25">
      <c r="A108" s="48" t="s">
        <v>102</v>
      </c>
      <c r="B108" s="122">
        <f>20+4658</f>
        <v>4678</v>
      </c>
      <c r="C108" s="50">
        <v>3566</v>
      </c>
      <c r="D108" s="52">
        <f t="shared" si="6"/>
        <v>19.397302001740645</v>
      </c>
      <c r="E108" s="50">
        <v>314</v>
      </c>
      <c r="F108" s="52">
        <f t="shared" si="7"/>
        <v>8.8053841839596192</v>
      </c>
      <c r="G108" s="53">
        <f t="shared" si="8"/>
        <v>1.311833987661245</v>
      </c>
      <c r="I108" s="54"/>
      <c r="J108" s="42">
        <v>18384</v>
      </c>
    </row>
    <row r="109" spans="1:12" ht="16.5" customHeight="1" x14ac:dyDescent="0.25">
      <c r="A109" s="48" t="s">
        <v>103</v>
      </c>
      <c r="B109" s="122">
        <f>24+926</f>
        <v>950</v>
      </c>
      <c r="C109" s="50">
        <v>811</v>
      </c>
      <c r="D109" s="52">
        <f t="shared" si="6"/>
        <v>3.1925363146085108</v>
      </c>
      <c r="E109" s="50">
        <v>296</v>
      </c>
      <c r="F109" s="52">
        <f t="shared" si="7"/>
        <v>36.498150431565968</v>
      </c>
      <c r="G109" s="53">
        <f t="shared" si="8"/>
        <v>1.1713933415536375</v>
      </c>
      <c r="I109" s="54"/>
      <c r="J109" s="42">
        <v>25403</v>
      </c>
    </row>
    <row r="110" spans="1:12" ht="16.5" customHeight="1" x14ac:dyDescent="0.25">
      <c r="A110" s="42" t="s">
        <v>104</v>
      </c>
      <c r="B110" s="123">
        <f>24+2022</f>
        <v>2046</v>
      </c>
      <c r="C110" s="58">
        <v>1648</v>
      </c>
      <c r="D110" s="52">
        <f t="shared" si="6"/>
        <v>7.4227547067831727</v>
      </c>
      <c r="E110" s="124">
        <v>499</v>
      </c>
      <c r="F110" s="52">
        <f t="shared" si="7"/>
        <v>30.279126213592235</v>
      </c>
      <c r="G110" s="53">
        <f t="shared" si="8"/>
        <v>1.241504854368932</v>
      </c>
      <c r="J110" s="42">
        <v>22202</v>
      </c>
    </row>
    <row r="111" spans="1:12" ht="16.5" customHeight="1" x14ac:dyDescent="0.25">
      <c r="A111" s="125" t="s">
        <v>105</v>
      </c>
      <c r="B111" s="123">
        <v>0</v>
      </c>
      <c r="C111" s="58">
        <v>0</v>
      </c>
      <c r="D111" s="52">
        <f t="shared" si="6"/>
        <v>0</v>
      </c>
      <c r="E111" s="58">
        <v>0</v>
      </c>
      <c r="F111" s="52">
        <v>0</v>
      </c>
      <c r="G111" s="53">
        <v>0</v>
      </c>
      <c r="J111" s="42">
        <v>24854</v>
      </c>
    </row>
    <row r="112" spans="1:12" ht="16.5" customHeight="1" x14ac:dyDescent="0.25">
      <c r="A112" s="42" t="s">
        <v>106</v>
      </c>
      <c r="B112" s="123">
        <v>0</v>
      </c>
      <c r="C112" s="58">
        <v>0</v>
      </c>
      <c r="D112" s="88">
        <f t="shared" si="6"/>
        <v>0</v>
      </c>
      <c r="E112" s="58">
        <v>0</v>
      </c>
      <c r="F112" s="52">
        <v>0</v>
      </c>
      <c r="G112" s="53">
        <v>0</v>
      </c>
      <c r="J112" s="42">
        <v>8039</v>
      </c>
    </row>
    <row r="113" spans="1:12" x14ac:dyDescent="0.25">
      <c r="A113" s="5" t="s">
        <v>107</v>
      </c>
      <c r="B113" s="37">
        <f>SUM(B114:B118)</f>
        <v>74304</v>
      </c>
      <c r="C113" s="77">
        <f>SUM(C114:C118)</f>
        <v>54239</v>
      </c>
      <c r="D113" s="86">
        <f t="shared" si="6"/>
        <v>9.0622775741252504</v>
      </c>
      <c r="E113" s="79">
        <f>SUM(E114:E118)</f>
        <v>22033</v>
      </c>
      <c r="F113" s="40">
        <f t="shared" ref="F113:F118" si="9">+E113/C113*100</f>
        <v>40.62206161618024</v>
      </c>
      <c r="G113" s="41">
        <f t="shared" ref="G113:G118" si="10">+B113/C113</f>
        <v>1.3699367613709692</v>
      </c>
      <c r="I113" s="47">
        <v>0</v>
      </c>
      <c r="J113" s="42">
        <v>598514</v>
      </c>
      <c r="L113" s="42">
        <f>20488+50265</f>
        <v>70753</v>
      </c>
    </row>
    <row r="114" spans="1:12" ht="16.5" customHeight="1" x14ac:dyDescent="0.25">
      <c r="A114" s="48" t="s">
        <v>108</v>
      </c>
      <c r="B114" s="122">
        <f>5665+13446+1607+1944</f>
        <v>22662</v>
      </c>
      <c r="C114" s="64">
        <f>14955+2859</f>
        <v>17814</v>
      </c>
      <c r="D114" s="52">
        <f t="shared" si="6"/>
        <v>6.0144232717058088</v>
      </c>
      <c r="E114" s="50">
        <f>6707+377</f>
        <v>7084</v>
      </c>
      <c r="F114" s="52">
        <f t="shared" si="9"/>
        <v>39.7664758055462</v>
      </c>
      <c r="G114" s="53">
        <f t="shared" si="10"/>
        <v>1.2721455035365443</v>
      </c>
      <c r="I114" s="55"/>
      <c r="J114" s="42">
        <v>296188</v>
      </c>
    </row>
    <row r="115" spans="1:12" ht="16.5" customHeight="1" x14ac:dyDescent="0.25">
      <c r="A115" s="48" t="s">
        <v>109</v>
      </c>
      <c r="B115" s="122">
        <f>4358+11347</f>
        <v>15705</v>
      </c>
      <c r="C115" s="64">
        <v>5167</v>
      </c>
      <c r="D115" s="52">
        <f t="shared" si="6"/>
        <v>10.936838540343748</v>
      </c>
      <c r="E115" s="50">
        <v>1962</v>
      </c>
      <c r="F115" s="52">
        <f t="shared" si="9"/>
        <v>37.971743758467198</v>
      </c>
      <c r="G115" s="53">
        <f t="shared" si="10"/>
        <v>3.0394813237855622</v>
      </c>
      <c r="I115" s="54"/>
      <c r="J115" s="42">
        <v>47244</v>
      </c>
    </row>
    <row r="116" spans="1:12" ht="16.5" customHeight="1" x14ac:dyDescent="0.25">
      <c r="A116" s="48" t="s">
        <v>110</v>
      </c>
      <c r="B116" s="122">
        <f>1966+5079</f>
        <v>7045</v>
      </c>
      <c r="C116" s="64">
        <v>5289</v>
      </c>
      <c r="D116" s="52">
        <f t="shared" si="6"/>
        <v>16.858445159850827</v>
      </c>
      <c r="E116" s="50">
        <v>2103</v>
      </c>
      <c r="F116" s="52">
        <f t="shared" si="9"/>
        <v>39.761769710720365</v>
      </c>
      <c r="G116" s="53">
        <f t="shared" si="10"/>
        <v>1.3320098317262243</v>
      </c>
      <c r="I116" s="54"/>
      <c r="J116" s="126">
        <v>31373</v>
      </c>
      <c r="K116" s="126"/>
    </row>
    <row r="117" spans="1:12" ht="16.5" customHeight="1" x14ac:dyDescent="0.25">
      <c r="A117" s="48" t="s">
        <v>111</v>
      </c>
      <c r="B117" s="122">
        <f>7182+18075</f>
        <v>25257</v>
      </c>
      <c r="C117" s="64">
        <v>23773</v>
      </c>
      <c r="D117" s="52">
        <f t="shared" si="6"/>
        <v>11.903879664309892</v>
      </c>
      <c r="E117" s="50">
        <v>10018</v>
      </c>
      <c r="F117" s="52">
        <f t="shared" si="9"/>
        <v>42.140243132965971</v>
      </c>
      <c r="G117" s="53">
        <f t="shared" si="10"/>
        <v>1.0624237580448408</v>
      </c>
      <c r="I117" s="54"/>
      <c r="J117" s="42">
        <v>199708</v>
      </c>
    </row>
    <row r="118" spans="1:12" ht="16.5" customHeight="1" thickBot="1" x14ac:dyDescent="0.3">
      <c r="A118" s="89" t="s">
        <v>112</v>
      </c>
      <c r="B118" s="67">
        <f>1317+2318</f>
        <v>3635</v>
      </c>
      <c r="C118" s="68">
        <v>2196</v>
      </c>
      <c r="D118" s="69">
        <f t="shared" si="6"/>
        <v>9.149618765884755</v>
      </c>
      <c r="E118" s="90">
        <v>866</v>
      </c>
      <c r="F118" s="92">
        <f t="shared" si="9"/>
        <v>39.435336976320585</v>
      </c>
      <c r="G118" s="71">
        <f t="shared" si="10"/>
        <v>1.6552823315118397</v>
      </c>
      <c r="I118" s="54"/>
      <c r="J118" s="42">
        <v>24001</v>
      </c>
    </row>
    <row r="119" spans="1:12" ht="16.5" customHeight="1" thickTop="1" x14ac:dyDescent="0.25">
      <c r="A119" s="127" t="s">
        <v>113</v>
      </c>
      <c r="B119" s="93"/>
      <c r="C119" s="128"/>
      <c r="D119" s="75"/>
      <c r="E119" s="128"/>
      <c r="F119" s="75"/>
      <c r="G119" s="129"/>
      <c r="I119" s="54"/>
    </row>
    <row r="120" spans="1:12" x14ac:dyDescent="0.25">
      <c r="A120" s="48" t="s">
        <v>114</v>
      </c>
      <c r="B120" s="130"/>
      <c r="C120" s="131"/>
      <c r="G120" s="75"/>
      <c r="H120" s="75"/>
    </row>
    <row r="121" spans="1:12" x14ac:dyDescent="0.25">
      <c r="A121" s="132" t="s">
        <v>115</v>
      </c>
      <c r="B121" s="130"/>
      <c r="C121" s="131"/>
      <c r="G121" s="75"/>
      <c r="H121" s="75"/>
    </row>
    <row r="122" spans="1:12" x14ac:dyDescent="0.25">
      <c r="A122" s="48" t="s">
        <v>116</v>
      </c>
      <c r="B122" s="130"/>
      <c r="C122" s="131"/>
      <c r="G122" s="75"/>
      <c r="H122" s="75"/>
    </row>
    <row r="123" spans="1:12" x14ac:dyDescent="0.25">
      <c r="A123" s="133" t="s">
        <v>117</v>
      </c>
      <c r="B123" s="134"/>
      <c r="C123" s="131"/>
      <c r="G123" s="75"/>
      <c r="H123" s="75"/>
    </row>
    <row r="124" spans="1:12" ht="15.75" customHeight="1" x14ac:dyDescent="0.25">
      <c r="A124" s="135" t="s">
        <v>118</v>
      </c>
      <c r="B124" s="135"/>
      <c r="C124" s="135"/>
      <c r="D124" s="135"/>
      <c r="E124" s="135"/>
      <c r="F124" s="135"/>
      <c r="G124" s="135"/>
      <c r="H124" s="75"/>
    </row>
    <row r="125" spans="1:12" ht="12" customHeight="1" x14ac:dyDescent="0.25">
      <c r="A125" s="2"/>
      <c r="B125" s="136"/>
      <c r="C125" s="131"/>
      <c r="G125" s="75"/>
      <c r="H125" s="75"/>
    </row>
    <row r="126" spans="1:12" ht="12" customHeight="1" x14ac:dyDescent="0.25">
      <c r="A126" s="137"/>
      <c r="B126" s="137"/>
      <c r="C126" s="138"/>
      <c r="D126" s="138"/>
      <c r="E126" s="138"/>
      <c r="F126" s="138"/>
      <c r="G126" s="138"/>
      <c r="H126" s="75"/>
    </row>
    <row r="127" spans="1:12" ht="15" customHeight="1" x14ac:dyDescent="0.25">
      <c r="A127" s="138"/>
      <c r="B127" s="138"/>
      <c r="C127" s="138"/>
      <c r="D127" s="138"/>
      <c r="E127" s="138"/>
      <c r="F127" s="138"/>
      <c r="G127" s="138"/>
      <c r="H127" s="75"/>
    </row>
    <row r="128" spans="1:12" ht="15" customHeight="1" x14ac:dyDescent="0.25">
      <c r="C128" s="6" t="s">
        <v>119</v>
      </c>
      <c r="D128" s="139"/>
      <c r="F128" s="139"/>
      <c r="G128" s="75"/>
      <c r="H128" s="75"/>
    </row>
    <row r="129" spans="3:8" ht="15" customHeight="1" x14ac:dyDescent="0.25">
      <c r="C129" s="6" t="s">
        <v>119</v>
      </c>
      <c r="D129" s="139"/>
      <c r="F129" s="139"/>
      <c r="G129" s="75"/>
      <c r="H129" s="75"/>
    </row>
    <row r="130" spans="3:8" ht="15" customHeight="1" x14ac:dyDescent="0.25">
      <c r="C130" s="6" t="s">
        <v>119</v>
      </c>
      <c r="F130" s="139"/>
      <c r="G130" s="75"/>
      <c r="H130" s="75"/>
    </row>
    <row r="131" spans="3:8" ht="14.1" customHeight="1" x14ac:dyDescent="0.25">
      <c r="C131" s="6" t="s">
        <v>119</v>
      </c>
      <c r="F131" s="139"/>
      <c r="G131" s="75"/>
      <c r="H131" s="75"/>
    </row>
    <row r="132" spans="3:8" ht="14.1" customHeight="1" x14ac:dyDescent="0.25">
      <c r="C132" s="6" t="s">
        <v>119</v>
      </c>
      <c r="F132" s="139"/>
      <c r="G132" s="75"/>
      <c r="H132" s="75"/>
    </row>
    <row r="133" spans="3:8" ht="14.1" customHeight="1" x14ac:dyDescent="0.25">
      <c r="C133" s="6" t="s">
        <v>119</v>
      </c>
      <c r="F133" s="139"/>
      <c r="G133" s="75"/>
      <c r="H133" s="75"/>
    </row>
    <row r="134" spans="3:8" ht="14.1" customHeight="1" x14ac:dyDescent="0.25">
      <c r="C134" s="6" t="s">
        <v>119</v>
      </c>
      <c r="F134" s="139"/>
      <c r="G134" s="75"/>
      <c r="H134" s="75"/>
    </row>
    <row r="135" spans="3:8" ht="14.1" customHeight="1" x14ac:dyDescent="0.25">
      <c r="C135" s="6" t="s">
        <v>119</v>
      </c>
      <c r="F135" s="139"/>
      <c r="G135" s="75"/>
      <c r="H135" s="75"/>
    </row>
    <row r="136" spans="3:8" ht="14.1" customHeight="1" x14ac:dyDescent="0.25">
      <c r="C136" s="6" t="s">
        <v>119</v>
      </c>
      <c r="F136" s="139"/>
      <c r="G136" s="75"/>
      <c r="H136" s="75"/>
    </row>
    <row r="137" spans="3:8" ht="14.1" customHeight="1" x14ac:dyDescent="0.25">
      <c r="C137" s="6" t="s">
        <v>119</v>
      </c>
      <c r="F137" s="139"/>
      <c r="G137" s="75"/>
      <c r="H137" s="75"/>
    </row>
    <row r="138" spans="3:8" ht="14.1" customHeight="1" x14ac:dyDescent="0.25">
      <c r="C138" s="6" t="s">
        <v>119</v>
      </c>
      <c r="F138" s="139"/>
      <c r="G138" s="75"/>
      <c r="H138" s="75"/>
    </row>
    <row r="139" spans="3:8" ht="14.1" customHeight="1" x14ac:dyDescent="0.25">
      <c r="C139" s="6" t="s">
        <v>119</v>
      </c>
      <c r="F139" s="139"/>
      <c r="G139" s="75"/>
      <c r="H139" s="75"/>
    </row>
    <row r="140" spans="3:8" ht="14.1" customHeight="1" x14ac:dyDescent="0.25">
      <c r="C140" s="6" t="s">
        <v>119</v>
      </c>
      <c r="G140" s="75"/>
      <c r="H140" s="75"/>
    </row>
    <row r="141" spans="3:8" ht="14.1" customHeight="1" x14ac:dyDescent="0.25">
      <c r="C141" s="6" t="s">
        <v>119</v>
      </c>
      <c r="G141" s="75"/>
      <c r="H141" s="75"/>
    </row>
    <row r="142" spans="3:8" ht="14.1" customHeight="1" x14ac:dyDescent="0.25">
      <c r="C142" s="6" t="s">
        <v>119</v>
      </c>
      <c r="G142" s="75"/>
      <c r="H142" s="75"/>
    </row>
    <row r="143" spans="3:8" ht="14.1" customHeight="1" x14ac:dyDescent="0.25">
      <c r="C143" s="6" t="s">
        <v>119</v>
      </c>
      <c r="G143" s="75"/>
      <c r="H143" s="75"/>
    </row>
    <row r="144" spans="3:8" ht="14.1" customHeight="1" x14ac:dyDescent="0.25">
      <c r="C144" s="6" t="s">
        <v>119</v>
      </c>
      <c r="G144" s="75"/>
      <c r="H144" s="75"/>
    </row>
    <row r="145" spans="1:14" s="57" customFormat="1" ht="14.1" customHeight="1" x14ac:dyDescent="0.25">
      <c r="A145" s="42"/>
      <c r="B145" s="44"/>
      <c r="C145" s="6" t="s">
        <v>119</v>
      </c>
      <c r="D145" s="42"/>
      <c r="E145" s="44"/>
      <c r="F145" s="42"/>
      <c r="G145" s="75"/>
      <c r="H145" s="75"/>
      <c r="J145" s="42"/>
      <c r="K145" s="42"/>
      <c r="L145" s="42"/>
      <c r="M145" s="42"/>
      <c r="N145" s="42"/>
    </row>
    <row r="146" spans="1:14" s="57" customFormat="1" ht="14.1" customHeight="1" x14ac:dyDescent="0.25">
      <c r="A146" s="42"/>
      <c r="B146" s="44"/>
      <c r="C146" s="6" t="s">
        <v>119</v>
      </c>
      <c r="D146" s="42"/>
      <c r="E146" s="44"/>
      <c r="F146" s="42"/>
      <c r="G146" s="75"/>
      <c r="H146" s="75"/>
      <c r="J146" s="42"/>
      <c r="K146" s="42"/>
      <c r="L146" s="42"/>
      <c r="M146" s="42"/>
      <c r="N146" s="42"/>
    </row>
    <row r="147" spans="1:14" s="57" customFormat="1" ht="14.1" customHeight="1" x14ac:dyDescent="0.25">
      <c r="A147" s="42"/>
      <c r="B147" s="44"/>
      <c r="C147" s="6" t="s">
        <v>119</v>
      </c>
      <c r="D147" s="42"/>
      <c r="E147" s="44"/>
      <c r="F147" s="42"/>
      <c r="G147" s="75"/>
      <c r="H147" s="75"/>
      <c r="J147" s="42"/>
      <c r="K147" s="42"/>
      <c r="L147" s="42"/>
      <c r="M147" s="42"/>
      <c r="N147" s="42"/>
    </row>
    <row r="148" spans="1:14" s="57" customFormat="1" ht="14.1" customHeight="1" x14ac:dyDescent="0.25">
      <c r="A148" s="42"/>
      <c r="B148" s="44"/>
      <c r="C148" s="6" t="s">
        <v>119</v>
      </c>
      <c r="D148" s="42"/>
      <c r="E148" s="44"/>
      <c r="F148" s="42"/>
      <c r="G148" s="75"/>
      <c r="H148" s="75"/>
      <c r="J148" s="42"/>
      <c r="K148" s="42"/>
      <c r="L148" s="42"/>
      <c r="M148" s="42"/>
      <c r="N148" s="42"/>
    </row>
    <row r="149" spans="1:14" s="57" customFormat="1" ht="14.1" customHeight="1" x14ac:dyDescent="0.25">
      <c r="A149" s="42"/>
      <c r="B149" s="44"/>
      <c r="C149" s="6" t="s">
        <v>119</v>
      </c>
      <c r="D149" s="42"/>
      <c r="E149" s="44"/>
      <c r="F149" s="42"/>
      <c r="G149" s="75"/>
      <c r="H149" s="75"/>
      <c r="J149" s="42"/>
      <c r="K149" s="42"/>
      <c r="L149" s="42"/>
      <c r="M149" s="42"/>
      <c r="N149" s="42"/>
    </row>
    <row r="150" spans="1:14" s="57" customFormat="1" ht="14.1" customHeight="1" x14ac:dyDescent="0.25">
      <c r="A150" s="42"/>
      <c r="B150" s="44"/>
      <c r="C150" s="6" t="s">
        <v>119</v>
      </c>
      <c r="D150" s="42"/>
      <c r="E150" s="44"/>
      <c r="F150" s="42"/>
      <c r="G150" s="75"/>
      <c r="H150" s="75"/>
      <c r="J150" s="42"/>
      <c r="K150" s="42"/>
      <c r="L150" s="42"/>
      <c r="M150" s="42"/>
      <c r="N150" s="42"/>
    </row>
    <row r="151" spans="1:14" s="57" customFormat="1" ht="14.1" customHeight="1" x14ac:dyDescent="0.25">
      <c r="A151" s="42"/>
      <c r="B151" s="44"/>
      <c r="C151" s="6" t="s">
        <v>119</v>
      </c>
      <c r="D151" s="42"/>
      <c r="E151" s="44"/>
      <c r="F151" s="42"/>
      <c r="G151" s="75"/>
      <c r="H151" s="75"/>
      <c r="J151" s="42"/>
      <c r="K151" s="42"/>
      <c r="L151" s="42"/>
      <c r="M151" s="42"/>
      <c r="N151" s="42"/>
    </row>
    <row r="152" spans="1:14" s="57" customFormat="1" ht="14.1" customHeight="1" x14ac:dyDescent="0.25">
      <c r="A152" s="42"/>
      <c r="B152" s="44"/>
      <c r="C152" s="6" t="s">
        <v>119</v>
      </c>
      <c r="D152" s="42"/>
      <c r="E152" s="44"/>
      <c r="F152" s="42"/>
      <c r="G152" s="75"/>
      <c r="H152" s="75"/>
      <c r="J152" s="42"/>
      <c r="K152" s="42"/>
      <c r="L152" s="42"/>
      <c r="M152" s="42"/>
      <c r="N152" s="42"/>
    </row>
    <row r="153" spans="1:14" s="57" customFormat="1" ht="14.1" customHeight="1" x14ac:dyDescent="0.25">
      <c r="A153" s="42"/>
      <c r="B153" s="44"/>
      <c r="C153" s="6" t="s">
        <v>119</v>
      </c>
      <c r="D153" s="42"/>
      <c r="E153" s="44"/>
      <c r="F153" s="42"/>
      <c r="G153" s="75"/>
      <c r="H153" s="75"/>
      <c r="J153" s="42"/>
      <c r="K153" s="42"/>
      <c r="L153" s="42"/>
      <c r="M153" s="42"/>
      <c r="N153" s="42"/>
    </row>
    <row r="154" spans="1:14" s="57" customFormat="1" ht="14.1" customHeight="1" x14ac:dyDescent="0.25">
      <c r="A154" s="42"/>
      <c r="B154" s="44"/>
      <c r="C154" s="6" t="s">
        <v>119</v>
      </c>
      <c r="D154" s="42"/>
      <c r="E154" s="44"/>
      <c r="F154" s="42"/>
      <c r="G154" s="75"/>
      <c r="H154" s="75"/>
      <c r="J154" s="42"/>
      <c r="K154" s="42"/>
      <c r="L154" s="42"/>
      <c r="M154" s="42"/>
      <c r="N154" s="42"/>
    </row>
    <row r="155" spans="1:14" s="57" customFormat="1" ht="14.1" customHeight="1" x14ac:dyDescent="0.25">
      <c r="A155" s="42"/>
      <c r="B155" s="44"/>
      <c r="C155" s="6" t="s">
        <v>119</v>
      </c>
      <c r="D155" s="42"/>
      <c r="E155" s="44"/>
      <c r="F155" s="42"/>
      <c r="G155" s="75"/>
      <c r="H155" s="75"/>
      <c r="J155" s="42"/>
      <c r="K155" s="42"/>
      <c r="L155" s="42"/>
      <c r="M155" s="42"/>
      <c r="N155" s="42"/>
    </row>
    <row r="156" spans="1:14" s="57" customFormat="1" ht="14.1" customHeight="1" x14ac:dyDescent="0.25">
      <c r="A156" s="42"/>
      <c r="B156" s="44"/>
      <c r="C156" s="6" t="s">
        <v>119</v>
      </c>
      <c r="D156" s="42"/>
      <c r="E156" s="44"/>
      <c r="F156" s="42"/>
      <c r="G156" s="75"/>
      <c r="H156" s="75"/>
      <c r="J156" s="42"/>
      <c r="K156" s="42"/>
      <c r="L156" s="42"/>
      <c r="M156" s="42"/>
      <c r="N156" s="42"/>
    </row>
    <row r="157" spans="1:14" s="57" customFormat="1" ht="14.1" customHeight="1" x14ac:dyDescent="0.25">
      <c r="A157" s="42"/>
      <c r="B157" s="44"/>
      <c r="C157" s="6" t="s">
        <v>119</v>
      </c>
      <c r="D157" s="42"/>
      <c r="E157" s="44"/>
      <c r="F157" s="42"/>
      <c r="G157" s="75"/>
      <c r="H157" s="75"/>
      <c r="J157" s="42"/>
      <c r="K157" s="42"/>
      <c r="L157" s="42"/>
      <c r="M157" s="42"/>
      <c r="N157" s="42"/>
    </row>
    <row r="158" spans="1:14" s="57" customFormat="1" ht="14.1" customHeight="1" x14ac:dyDescent="0.25">
      <c r="A158" s="42"/>
      <c r="B158" s="44"/>
      <c r="C158" s="44"/>
      <c r="D158" s="42"/>
      <c r="E158" s="44"/>
      <c r="F158" s="42"/>
      <c r="G158" s="75"/>
      <c r="H158" s="75"/>
      <c r="J158" s="42"/>
      <c r="K158" s="42"/>
      <c r="L158" s="42"/>
      <c r="M158" s="42"/>
      <c r="N158" s="42"/>
    </row>
    <row r="159" spans="1:14" s="57" customFormat="1" ht="14.1" customHeight="1" x14ac:dyDescent="0.25">
      <c r="A159" s="42"/>
      <c r="B159" s="44"/>
      <c r="C159" s="44"/>
      <c r="D159" s="42"/>
      <c r="E159" s="44"/>
      <c r="F159" s="42"/>
      <c r="G159" s="75"/>
      <c r="H159" s="75"/>
      <c r="J159" s="42"/>
      <c r="K159" s="42"/>
      <c r="L159" s="42"/>
      <c r="M159" s="42"/>
      <c r="N159" s="42"/>
    </row>
    <row r="160" spans="1:14" s="57" customFormat="1" ht="14.1" customHeight="1" x14ac:dyDescent="0.25">
      <c r="A160" s="42"/>
      <c r="B160" s="44"/>
      <c r="C160" s="44"/>
      <c r="D160" s="42"/>
      <c r="E160" s="44"/>
      <c r="F160" s="42"/>
      <c r="G160" s="75"/>
      <c r="H160" s="75"/>
      <c r="J160" s="42"/>
      <c r="K160" s="42"/>
      <c r="L160" s="42"/>
      <c r="M160" s="42"/>
      <c r="N160" s="42"/>
    </row>
    <row r="161" spans="1:14" s="57" customFormat="1" ht="14.1" customHeight="1" x14ac:dyDescent="0.25">
      <c r="A161" s="42"/>
      <c r="B161" s="44"/>
      <c r="C161" s="44"/>
      <c r="D161" s="42"/>
      <c r="E161" s="44"/>
      <c r="F161" s="42"/>
      <c r="G161" s="75"/>
      <c r="H161" s="75"/>
      <c r="J161" s="42"/>
      <c r="K161" s="42"/>
      <c r="L161" s="42"/>
      <c r="M161" s="42"/>
      <c r="N161" s="42"/>
    </row>
    <row r="162" spans="1:14" s="57" customFormat="1" ht="14.1" customHeight="1" x14ac:dyDescent="0.25">
      <c r="A162" s="42"/>
      <c r="B162" s="44"/>
      <c r="C162" s="44"/>
      <c r="D162" s="42"/>
      <c r="E162" s="44"/>
      <c r="F162" s="42"/>
      <c r="G162" s="75"/>
      <c r="H162" s="75"/>
      <c r="J162" s="42"/>
      <c r="K162" s="42"/>
      <c r="L162" s="42"/>
      <c r="M162" s="42"/>
      <c r="N162" s="42"/>
    </row>
    <row r="163" spans="1:14" s="57" customFormat="1" ht="14.1" customHeight="1" x14ac:dyDescent="0.25">
      <c r="A163" s="42"/>
      <c r="B163" s="44"/>
      <c r="C163" s="44"/>
      <c r="D163" s="42"/>
      <c r="E163" s="44"/>
      <c r="F163" s="42"/>
      <c r="G163" s="42"/>
      <c r="H163" s="42"/>
      <c r="J163" s="42"/>
      <c r="K163" s="42"/>
      <c r="L163" s="42"/>
      <c r="M163" s="42"/>
      <c r="N163" s="42"/>
    </row>
    <row r="164" spans="1:14" s="57" customFormat="1" ht="14.1" customHeight="1" x14ac:dyDescent="0.25">
      <c r="A164" s="42"/>
      <c r="B164" s="44"/>
      <c r="C164" s="44"/>
      <c r="D164" s="42"/>
      <c r="E164" s="44"/>
      <c r="F164" s="42"/>
      <c r="G164" s="42"/>
      <c r="H164" s="42"/>
      <c r="J164" s="42"/>
      <c r="K164" s="42"/>
      <c r="L164" s="42"/>
      <c r="M164" s="42"/>
      <c r="N164" s="42"/>
    </row>
    <row r="165" spans="1:14" s="57" customFormat="1" ht="14.1" customHeight="1" x14ac:dyDescent="0.25">
      <c r="A165" s="42"/>
      <c r="B165" s="44"/>
      <c r="C165" s="44"/>
      <c r="D165" s="42"/>
      <c r="E165" s="44"/>
      <c r="F165" s="42"/>
      <c r="G165" s="42"/>
      <c r="H165" s="42"/>
      <c r="J165" s="42"/>
      <c r="K165" s="42"/>
      <c r="L165" s="42"/>
      <c r="M165" s="42"/>
      <c r="N165" s="42"/>
    </row>
    <row r="166" spans="1:14" s="57" customFormat="1" ht="14.1" customHeight="1" x14ac:dyDescent="0.25">
      <c r="A166" s="42"/>
      <c r="B166" s="44"/>
      <c r="C166" s="44"/>
      <c r="D166" s="42"/>
      <c r="E166" s="44"/>
      <c r="F166" s="42"/>
      <c r="G166" s="42"/>
      <c r="H166" s="42"/>
      <c r="J166" s="42"/>
      <c r="K166" s="42"/>
      <c r="L166" s="42"/>
      <c r="M166" s="42"/>
      <c r="N166" s="42"/>
    </row>
    <row r="167" spans="1:14" s="57" customFormat="1" ht="14.1" customHeight="1" x14ac:dyDescent="0.25">
      <c r="A167" s="42"/>
      <c r="B167" s="44"/>
      <c r="C167" s="44"/>
      <c r="D167" s="42"/>
      <c r="E167" s="44"/>
      <c r="F167" s="42"/>
      <c r="G167" s="42"/>
      <c r="H167" s="42"/>
      <c r="J167" s="42"/>
      <c r="K167" s="42"/>
      <c r="L167" s="42"/>
      <c r="M167" s="42"/>
      <c r="N167" s="42"/>
    </row>
    <row r="168" spans="1:14" s="57" customFormat="1" ht="14.1" customHeight="1" x14ac:dyDescent="0.25">
      <c r="A168" s="42"/>
      <c r="B168" s="44"/>
      <c r="C168" s="44"/>
      <c r="D168" s="42"/>
      <c r="E168" s="44"/>
      <c r="F168" s="42"/>
      <c r="G168" s="42"/>
      <c r="H168" s="42"/>
      <c r="J168" s="42"/>
      <c r="K168" s="42"/>
      <c r="L168" s="42"/>
      <c r="M168" s="42"/>
      <c r="N168" s="42"/>
    </row>
    <row r="169" spans="1:14" s="57" customFormat="1" ht="14.1" customHeight="1" x14ac:dyDescent="0.25">
      <c r="A169" s="42"/>
      <c r="B169" s="44"/>
      <c r="C169" s="44"/>
      <c r="D169" s="42"/>
      <c r="E169" s="44"/>
      <c r="F169" s="42"/>
      <c r="G169" s="42"/>
      <c r="H169" s="42"/>
      <c r="J169" s="42"/>
      <c r="K169" s="42"/>
      <c r="L169" s="42"/>
      <c r="M169" s="42"/>
      <c r="N169" s="42"/>
    </row>
    <row r="170" spans="1:14" s="57" customFormat="1" ht="14.1" customHeight="1" x14ac:dyDescent="0.25">
      <c r="A170" s="42"/>
      <c r="B170" s="44"/>
      <c r="C170" s="44"/>
      <c r="D170" s="42"/>
      <c r="E170" s="44"/>
      <c r="F170" s="42"/>
      <c r="G170" s="42"/>
      <c r="H170" s="42"/>
      <c r="J170" s="42"/>
      <c r="K170" s="42"/>
      <c r="L170" s="42"/>
      <c r="M170" s="42"/>
      <c r="N170" s="42"/>
    </row>
    <row r="171" spans="1:14" s="57" customFormat="1" ht="14.1" customHeight="1" x14ac:dyDescent="0.25">
      <c r="A171" s="42"/>
      <c r="B171" s="44"/>
      <c r="C171" s="44"/>
      <c r="D171" s="42"/>
      <c r="E171" s="44"/>
      <c r="F171" s="42"/>
      <c r="G171" s="42"/>
      <c r="H171" s="42"/>
      <c r="J171" s="42"/>
      <c r="K171" s="42"/>
      <c r="L171" s="42"/>
      <c r="M171" s="42"/>
      <c r="N171" s="42"/>
    </row>
    <row r="172" spans="1:14" s="57" customFormat="1" ht="14.1" customHeight="1" x14ac:dyDescent="0.25">
      <c r="A172" s="42"/>
      <c r="B172" s="44"/>
      <c r="C172" s="44"/>
      <c r="D172" s="42"/>
      <c r="E172" s="44"/>
      <c r="F172" s="42"/>
      <c r="G172" s="42"/>
      <c r="H172" s="42"/>
      <c r="J172" s="42"/>
      <c r="K172" s="42"/>
      <c r="L172" s="42"/>
      <c r="M172" s="42"/>
      <c r="N172" s="42"/>
    </row>
    <row r="173" spans="1:14" s="57" customFormat="1" ht="14.1" customHeight="1" x14ac:dyDescent="0.25">
      <c r="A173" s="42"/>
      <c r="B173" s="44"/>
      <c r="C173" s="44"/>
      <c r="D173" s="42"/>
      <c r="E173" s="44"/>
      <c r="F173" s="42"/>
      <c r="G173" s="42"/>
      <c r="H173" s="42"/>
      <c r="J173" s="42"/>
      <c r="K173" s="42"/>
      <c r="L173" s="42"/>
      <c r="M173" s="42"/>
      <c r="N173" s="42"/>
    </row>
    <row r="174" spans="1:14" s="57" customFormat="1" ht="14.1" customHeight="1" x14ac:dyDescent="0.25">
      <c r="A174" s="42"/>
      <c r="B174" s="44"/>
      <c r="C174" s="44"/>
      <c r="D174" s="42"/>
      <c r="E174" s="44"/>
      <c r="F174" s="42"/>
      <c r="G174" s="42"/>
      <c r="H174" s="42"/>
      <c r="J174" s="42"/>
      <c r="K174" s="42"/>
      <c r="L174" s="42"/>
      <c r="M174" s="42"/>
      <c r="N174" s="42"/>
    </row>
    <row r="175" spans="1:14" s="57" customFormat="1" ht="14.1" customHeight="1" x14ac:dyDescent="0.25">
      <c r="A175" s="42"/>
      <c r="B175" s="44"/>
      <c r="C175" s="44"/>
      <c r="D175" s="42"/>
      <c r="E175" s="44"/>
      <c r="F175" s="42"/>
      <c r="G175" s="42"/>
      <c r="H175" s="42"/>
      <c r="J175" s="42"/>
      <c r="K175" s="42"/>
      <c r="L175" s="42"/>
      <c r="M175" s="42"/>
      <c r="N175" s="42"/>
    </row>
    <row r="176" spans="1:14" s="57" customFormat="1" ht="14.1" customHeight="1" x14ac:dyDescent="0.25">
      <c r="A176" s="42"/>
      <c r="B176" s="44"/>
      <c r="C176" s="44"/>
      <c r="D176" s="42"/>
      <c r="E176" s="44"/>
      <c r="F176" s="42"/>
      <c r="G176" s="42"/>
      <c r="H176" s="42"/>
      <c r="J176" s="42"/>
      <c r="K176" s="42"/>
      <c r="L176" s="42"/>
      <c r="M176" s="42"/>
      <c r="N176" s="42"/>
    </row>
    <row r="177" ht="14.1" customHeight="1" x14ac:dyDescent="0.25"/>
    <row r="178" ht="14.1" customHeight="1" x14ac:dyDescent="0.25"/>
    <row r="179" ht="14.1" customHeight="1" x14ac:dyDescent="0.25"/>
    <row r="180" ht="14.1" customHeight="1" x14ac:dyDescent="0.25"/>
    <row r="181" ht="14.1" customHeight="1" x14ac:dyDescent="0.25"/>
    <row r="182" ht="14.1" customHeight="1" x14ac:dyDescent="0.25"/>
    <row r="183" ht="14.1" customHeight="1" x14ac:dyDescent="0.25"/>
  </sheetData>
  <mergeCells count="32">
    <mergeCell ref="F96:F97"/>
    <mergeCell ref="A124:G124"/>
    <mergeCell ref="A126:G127"/>
    <mergeCell ref="F52:F53"/>
    <mergeCell ref="A92:G92"/>
    <mergeCell ref="A93:G93"/>
    <mergeCell ref="A94:G94"/>
    <mergeCell ref="A95:A97"/>
    <mergeCell ref="B95:B97"/>
    <mergeCell ref="C95:D96"/>
    <mergeCell ref="E95:F95"/>
    <mergeCell ref="G95:G97"/>
    <mergeCell ref="E96:E97"/>
    <mergeCell ref="I5:I6"/>
    <mergeCell ref="A48:G48"/>
    <mergeCell ref="A49:G49"/>
    <mergeCell ref="A50:G50"/>
    <mergeCell ref="A51:A53"/>
    <mergeCell ref="B51:B53"/>
    <mergeCell ref="C51:D52"/>
    <mergeCell ref="E51:F51"/>
    <mergeCell ref="G51:G53"/>
    <mergeCell ref="E52:E53"/>
    <mergeCell ref="A1:G1"/>
    <mergeCell ref="A2:G2"/>
    <mergeCell ref="A4:A6"/>
    <mergeCell ref="B4:B6"/>
    <mergeCell ref="C4:D5"/>
    <mergeCell ref="E4:F4"/>
    <mergeCell ref="G4:G6"/>
    <mergeCell ref="E5:E6"/>
    <mergeCell ref="F5:F6"/>
  </mergeCells>
  <printOptions horizontalCentered="1"/>
  <pageMargins left="0.98425196850393704" right="0.78740157480314965" top="0.86614173228346458" bottom="0.86614173228346458" header="0.6692913385826772" footer="0.74803149606299213"/>
  <pageSetup scale="81" orientation="portrait" horizontalDpi="300" verticalDpi="300" r:id="rId1"/>
  <headerFooter alignWithMargins="0"/>
  <rowBreaks count="2" manualBreakCount="2">
    <brk id="47" max="6" man="1"/>
    <brk id="91" max="6" man="1"/>
  </rowBreaks>
  <colBreaks count="1" manualBreakCount="1">
    <brk id="7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C34</vt:lpstr>
      <vt:lpstr>'C34'!A_impresión_IM</vt:lpstr>
      <vt:lpstr>'C34'!Área_de_impresión</vt:lpstr>
      <vt:lpstr>'C34'!Títulos_a_imprimir_IM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2021-03-17T20:02:46Z</dcterms:created>
  <dcterms:modified xsi:type="dcterms:W3CDTF">2021-03-17T20:04:00Z</dcterms:modified>
</cp:coreProperties>
</file>