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BOLETIN 2019\"/>
    </mc:Choice>
  </mc:AlternateContent>
  <xr:revisionPtr revIDLastSave="0" documentId="8_{217842A5-C2E5-40AB-B33F-AD9058C9EC40}" xr6:coauthVersionLast="44" xr6:coauthVersionMax="44" xr10:uidLastSave="{00000000-0000-0000-0000-000000000000}"/>
  <bookViews>
    <workbookView xWindow="0" yWindow="600" windowWidth="24000" windowHeight="12900" xr2:uid="{46A8A93C-D5CE-47CA-A195-25AB17A659C5}"/>
  </bookViews>
  <sheets>
    <sheet name="C33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________key2" hidden="1">#REF!</definedName>
    <definedName name="______________________R">#REF!</definedName>
    <definedName name="_____________________key2" hidden="1">#REF!</definedName>
    <definedName name="_____________________R">#REF!</definedName>
    <definedName name="____________________key2" hidden="1">#REF!</definedName>
    <definedName name="____________________R">#REF!</definedName>
    <definedName name="___________________R">#REF!</definedName>
    <definedName name="__________________key2" hidden="1">#REF!</definedName>
    <definedName name="__________________R">#REF!</definedName>
    <definedName name="_________________R">#REF!</definedName>
    <definedName name="________________key2" hidden="1">#REF!</definedName>
    <definedName name="________________R">#REF!</definedName>
    <definedName name="_______________key2" hidden="1">#REF!</definedName>
    <definedName name="_______________R">#REF!</definedName>
    <definedName name="______________key2" hidden="1">#REF!</definedName>
    <definedName name="______________R">#REF!</definedName>
    <definedName name="_____________key2" hidden="1">#REF!</definedName>
    <definedName name="_____________R">#REF!</definedName>
    <definedName name="____________key2" hidden="1">#REF!</definedName>
    <definedName name="____________R">#REF!</definedName>
    <definedName name="___________key2" hidden="1">#REF!</definedName>
    <definedName name="___________R">#REF!</definedName>
    <definedName name="__________key2" hidden="1">#REF!</definedName>
    <definedName name="__________R">#REF!</definedName>
    <definedName name="_________key2" hidden="1">#REF!</definedName>
    <definedName name="_________R">#REF!</definedName>
    <definedName name="________key2" hidden="1">#REF!</definedName>
    <definedName name="________R">#REF!</definedName>
    <definedName name="_______key2" hidden="1">#REF!</definedName>
    <definedName name="_______R">#REF!</definedName>
    <definedName name="______key2" hidden="1">#REF!</definedName>
    <definedName name="______R">#REF!</definedName>
    <definedName name="_____key2" hidden="1">#REF!</definedName>
    <definedName name="_____R">#REF!</definedName>
    <definedName name="____key2" hidden="1">#REF!</definedName>
    <definedName name="____R">#REF!</definedName>
    <definedName name="___key2" hidden="1">#REF!</definedName>
    <definedName name="___R">#REF!</definedName>
    <definedName name="__key2" hidden="1">#REF!</definedName>
    <definedName name="__R">#REF!</definedName>
    <definedName name="_14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>#REF!</definedName>
    <definedName name="_Regression_Int" localSheetId="0" hidden="1">1</definedName>
    <definedName name="_Sort" localSheetId="0" hidden="1">#REF!</definedName>
    <definedName name="_Sort" hidden="1">#REF!</definedName>
    <definedName name="A_impresión_IM" localSheetId="0">'C33'!$A$1:$M$48</definedName>
    <definedName name="A_impresión_IM">#REF!</definedName>
    <definedName name="adolescentes" hidden="1">#REF!</definedName>
    <definedName name="_xlnm.Print_Area" localSheetId="0" xml:space="preserve">             'C33'!$A$1:$M$48</definedName>
    <definedName name="_xlnm.Print_Area">#REF!</definedName>
    <definedName name="_xlnm.Database">#REF!</definedName>
    <definedName name="ccc">[2]Mayo!#REF!</definedName>
    <definedName name="CENTROS">#REF!</definedName>
    <definedName name="cuadro" hidden="1">#REF!</definedName>
    <definedName name="cuadro25">#REF!</definedName>
    <definedName name="D">[3]C39!$A$7:$E$111</definedName>
    <definedName name="D2019.">#REF!</definedName>
    <definedName name="Excel_BuiltIn_Print_Area_5">[2]Mayo!#REF!</definedName>
    <definedName name="hijo" hidden="1">#REF!</definedName>
    <definedName name="key">#REF!</definedName>
    <definedName name="m">[4]C39!$A$7:$E$111</definedName>
    <definedName name="mary">#REF!</definedName>
    <definedName name="ser">#REF!</definedName>
    <definedName name="SERVICIO" hidden="1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9" i="1" l="1"/>
  <c r="M39" i="1" s="1"/>
  <c r="N39" i="1"/>
  <c r="P39" i="1" s="1"/>
  <c r="L39" i="1"/>
  <c r="I39" i="1"/>
  <c r="H39" i="1"/>
  <c r="C39" i="1"/>
  <c r="E39" i="1" s="1"/>
  <c r="B39" i="1"/>
  <c r="D39" i="1" s="1"/>
  <c r="O37" i="1"/>
  <c r="N37" i="1"/>
  <c r="I37" i="1" s="1"/>
  <c r="M37" i="1"/>
  <c r="L37" i="1"/>
  <c r="H37" i="1"/>
  <c r="C37" i="1"/>
  <c r="B37" i="1"/>
  <c r="D37" i="1" s="1"/>
  <c r="P35" i="1"/>
  <c r="E35" i="1" s="1"/>
  <c r="O35" i="1"/>
  <c r="M35" i="1" s="1"/>
  <c r="N35" i="1"/>
  <c r="I35" i="1" s="1"/>
  <c r="L35" i="1"/>
  <c r="H35" i="1"/>
  <c r="D35" i="1"/>
  <c r="C35" i="1"/>
  <c r="B35" i="1"/>
  <c r="O33" i="1"/>
  <c r="M33" i="1" s="1"/>
  <c r="N33" i="1"/>
  <c r="P33" i="1" s="1"/>
  <c r="L33" i="1"/>
  <c r="I33" i="1"/>
  <c r="H33" i="1"/>
  <c r="C33" i="1"/>
  <c r="B33" i="1"/>
  <c r="D33" i="1" s="1"/>
  <c r="O31" i="1"/>
  <c r="N31" i="1"/>
  <c r="P31" i="1" s="1"/>
  <c r="K31" i="1"/>
  <c r="M31" i="1" s="1"/>
  <c r="J31" i="1"/>
  <c r="L31" i="1" s="1"/>
  <c r="G31" i="1"/>
  <c r="C31" i="1" s="1"/>
  <c r="F31" i="1"/>
  <c r="B31" i="1" s="1"/>
  <c r="O30" i="1"/>
  <c r="N30" i="1"/>
  <c r="I30" i="1" s="1"/>
  <c r="M30" i="1"/>
  <c r="L30" i="1"/>
  <c r="H30" i="1"/>
  <c r="C30" i="1"/>
  <c r="B30" i="1"/>
  <c r="D30" i="1" s="1"/>
  <c r="P29" i="1"/>
  <c r="E29" i="1" s="1"/>
  <c r="O29" i="1"/>
  <c r="M29" i="1" s="1"/>
  <c r="N29" i="1"/>
  <c r="L29" i="1"/>
  <c r="I29" i="1"/>
  <c r="H29" i="1"/>
  <c r="D29" i="1"/>
  <c r="C29" i="1"/>
  <c r="B29" i="1"/>
  <c r="O28" i="1"/>
  <c r="M28" i="1" s="1"/>
  <c r="N28" i="1"/>
  <c r="P28" i="1" s="1"/>
  <c r="L28" i="1"/>
  <c r="I28" i="1"/>
  <c r="H28" i="1"/>
  <c r="C28" i="1"/>
  <c r="B28" i="1"/>
  <c r="D28" i="1" s="1"/>
  <c r="O26" i="1"/>
  <c r="M26" i="1" s="1"/>
  <c r="N26" i="1"/>
  <c r="I26" i="1" s="1"/>
  <c r="L26" i="1"/>
  <c r="H26" i="1"/>
  <c r="C26" i="1"/>
  <c r="B26" i="1"/>
  <c r="D26" i="1" s="1"/>
  <c r="O24" i="1"/>
  <c r="N24" i="1"/>
  <c r="I24" i="1" s="1"/>
  <c r="M24" i="1"/>
  <c r="L24" i="1"/>
  <c r="H24" i="1"/>
  <c r="C24" i="1"/>
  <c r="B24" i="1"/>
  <c r="D24" i="1" s="1"/>
  <c r="O22" i="1"/>
  <c r="P22" i="1" s="1"/>
  <c r="N22" i="1"/>
  <c r="M22" i="1"/>
  <c r="L22" i="1"/>
  <c r="I22" i="1"/>
  <c r="H22" i="1"/>
  <c r="C22" i="1"/>
  <c r="B22" i="1"/>
  <c r="O20" i="1"/>
  <c r="P20" i="1" s="1"/>
  <c r="N20" i="1"/>
  <c r="K20" i="1"/>
  <c r="M20" i="1" s="1"/>
  <c r="J20" i="1"/>
  <c r="L20" i="1" s="1"/>
  <c r="G20" i="1"/>
  <c r="H20" i="1" s="1"/>
  <c r="F20" i="1"/>
  <c r="B20" i="1"/>
  <c r="O19" i="1"/>
  <c r="M19" i="1" s="1"/>
  <c r="N19" i="1"/>
  <c r="I19" i="1" s="1"/>
  <c r="L19" i="1"/>
  <c r="H19" i="1"/>
  <c r="C19" i="1"/>
  <c r="B19" i="1"/>
  <c r="D19" i="1" s="1"/>
  <c r="O18" i="1"/>
  <c r="P18" i="1" s="1"/>
  <c r="E18" i="1" s="1"/>
  <c r="N18" i="1"/>
  <c r="I18" i="1" s="1"/>
  <c r="M18" i="1"/>
  <c r="L18" i="1"/>
  <c r="H18" i="1"/>
  <c r="C18" i="1"/>
  <c r="D18" i="1" s="1"/>
  <c r="B18" i="1"/>
  <c r="O16" i="1"/>
  <c r="P16" i="1" s="1"/>
  <c r="N16" i="1"/>
  <c r="M16" i="1"/>
  <c r="L16" i="1"/>
  <c r="I16" i="1"/>
  <c r="H16" i="1"/>
  <c r="C16" i="1"/>
  <c r="B16" i="1"/>
  <c r="O14" i="1"/>
  <c r="M14" i="1" s="1"/>
  <c r="N14" i="1"/>
  <c r="I14" i="1" s="1"/>
  <c r="L14" i="1"/>
  <c r="H14" i="1"/>
  <c r="C14" i="1"/>
  <c r="C8" i="1" s="1"/>
  <c r="E8" i="1" s="1"/>
  <c r="B14" i="1"/>
  <c r="O12" i="1"/>
  <c r="N12" i="1"/>
  <c r="P12" i="1" s="1"/>
  <c r="E12" i="1" s="1"/>
  <c r="M12" i="1"/>
  <c r="L12" i="1"/>
  <c r="I12" i="1"/>
  <c r="H12" i="1"/>
  <c r="C12" i="1"/>
  <c r="B12" i="1"/>
  <c r="D12" i="1" s="1"/>
  <c r="O10" i="1"/>
  <c r="N10" i="1"/>
  <c r="I10" i="1" s="1"/>
  <c r="M10" i="1"/>
  <c r="L10" i="1"/>
  <c r="H10" i="1"/>
  <c r="C10" i="1"/>
  <c r="B10" i="1"/>
  <c r="D10" i="1" s="1"/>
  <c r="P8" i="1"/>
  <c r="O8" i="1"/>
  <c r="N8" i="1"/>
  <c r="K8" i="1"/>
  <c r="M8" i="1" s="1"/>
  <c r="J8" i="1"/>
  <c r="I8" i="1"/>
  <c r="H8" i="1"/>
  <c r="G8" i="1"/>
  <c r="F8" i="1"/>
  <c r="E22" i="1" l="1"/>
  <c r="E33" i="1"/>
  <c r="D31" i="1"/>
  <c r="E26" i="1"/>
  <c r="E16" i="1"/>
  <c r="E31" i="1"/>
  <c r="E28" i="1"/>
  <c r="P14" i="1"/>
  <c r="P24" i="1"/>
  <c r="E24" i="1" s="1"/>
  <c r="B8" i="1"/>
  <c r="D8" i="1" s="1"/>
  <c r="E14" i="1"/>
  <c r="P19" i="1"/>
  <c r="E19" i="1" s="1"/>
  <c r="I20" i="1"/>
  <c r="P26" i="1"/>
  <c r="H31" i="1"/>
  <c r="P30" i="1"/>
  <c r="E30" i="1" s="1"/>
  <c r="I31" i="1"/>
  <c r="P37" i="1"/>
  <c r="E37" i="1" s="1"/>
  <c r="L8" i="1"/>
  <c r="D16" i="1"/>
  <c r="C20" i="1"/>
  <c r="E20" i="1" s="1"/>
  <c r="D22" i="1"/>
  <c r="D14" i="1"/>
  <c r="P10" i="1"/>
  <c r="E10" i="1" s="1"/>
  <c r="D20" i="1" l="1"/>
</calcChain>
</file>

<file path=xl/sharedStrings.xml><?xml version="1.0" encoding="utf-8"?>
<sst xmlns="http://schemas.openxmlformats.org/spreadsheetml/2006/main" count="51" uniqueCount="47">
  <si>
    <t xml:space="preserve">Cuadro 33.     COBERTURA Y CONCENTRACIÓN DE CONTROL DE SALUD DE ADULTO, EN EL MINISTERIO DE SALUD DE LA REPUBLICA DE PANAMA, </t>
  </si>
  <si>
    <t>POR GRUPO DE EDAD, SEGÚN REGIÓN DE SALUD Y COMARCA INDÍGENA: AÑO 2019</t>
  </si>
  <si>
    <t>Región de  Salud / Comarca Indigena</t>
  </si>
  <si>
    <t xml:space="preserve">Total  </t>
  </si>
  <si>
    <t>Grupo de Edad</t>
  </si>
  <si>
    <t>20 - 59 Años</t>
  </si>
  <si>
    <t>60 y Más</t>
  </si>
  <si>
    <t>Consultas</t>
  </si>
  <si>
    <t>Nuevas</t>
  </si>
  <si>
    <t>Concen-tración (1)</t>
  </si>
  <si>
    <t xml:space="preserve"> % de Cobertura (2)</t>
  </si>
  <si>
    <t>Concen-tración (3)</t>
  </si>
  <si>
    <t xml:space="preserve"> % de Cobertura  (4)</t>
  </si>
  <si>
    <t>Concen-tración (5)</t>
  </si>
  <si>
    <t xml:space="preserve"> % de Cobertura (6)</t>
  </si>
  <si>
    <t>20 a 59</t>
  </si>
  <si>
    <t>60 y mas</t>
  </si>
  <si>
    <t>20 y mas</t>
  </si>
  <si>
    <t>Total</t>
  </si>
  <si>
    <t>Bocas del Toro..............</t>
  </si>
  <si>
    <t>Coclé.............................</t>
  </si>
  <si>
    <t>Colón ............................</t>
  </si>
  <si>
    <t>Chiriquí...........................</t>
  </si>
  <si>
    <t>Darién..................................</t>
  </si>
  <si>
    <t>Comarca Emberá.....................</t>
  </si>
  <si>
    <t>Darién…...................</t>
  </si>
  <si>
    <t>Herrera.................................</t>
  </si>
  <si>
    <t>.</t>
  </si>
  <si>
    <t>Los Santos......................</t>
  </si>
  <si>
    <t>Panamá..........................................................</t>
  </si>
  <si>
    <t>Panamá Este ...........</t>
  </si>
  <si>
    <t>Metropolitana.........</t>
  </si>
  <si>
    <t>Panamá Norte………………</t>
  </si>
  <si>
    <t>San Miguelito.........</t>
  </si>
  <si>
    <t>Veraguas........................</t>
  </si>
  <si>
    <t>Comarca Kuna Yala…</t>
  </si>
  <si>
    <t>Comarca Ngobe Buglé.</t>
  </si>
  <si>
    <t>Panamá Oeste..............</t>
  </si>
  <si>
    <t>NOTA: Los datos corresponden a Instalaciones del Ministerio de Salud.</t>
  </si>
  <si>
    <t>(1) Se refiere al promedio de consultas brindadas a la población adulta de 20 a 59 años</t>
  </si>
  <si>
    <t>(2)  Cálculo por cada 100 adultos de 20 años y más.</t>
  </si>
  <si>
    <t>(3) Se refiere al promedio de consultas brindadas a la población adulta de 20 a 59 años</t>
  </si>
  <si>
    <t>(4)  Calculado por cada 100 adulto de 20 a 59 años.</t>
  </si>
  <si>
    <t>(5) Se refiere al promedio de consultas brindadas a la población adulta mayor de 60 años.</t>
  </si>
  <si>
    <t>(6)  Cálculo por cada 100 adulto mayor de 60 años.</t>
  </si>
  <si>
    <t>Fuente Documental: Sistema de Información Estadística en Salud. SIES</t>
  </si>
  <si>
    <t>Fuente Institucional:  Ministerio de Salud, Dirección Nacional de Planificación, Departamento de Registros y Estadística.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</si>
</sst>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#,##0.0"/>
    <numFmt numFmtId="167" formatCode="#,##0.0_);\(#,##0.0\)"/>
  </numFmts>
  <fonts count="9" x14ac:knownFonts="1">
    <font>
      <sz val="11"/>
      <color theme="1"/>
      <name val="Calibri"/>
      <family val="2"/>
      <scheme val="minor"/>
    </font>
    <font>
      <sz val="11"/>
      <name val="Tms Rmn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0"/>
      <name val="Book Antiqua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Helv"/>
    </font>
    <font>
      <b/>
      <u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double">
        <color indexed="8"/>
      </right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8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</cellStyleXfs>
  <cellXfs count="74">
    <xf numFmtId="0" fontId="0" fillId="0" borderId="0" xfId="0"/>
    <xf numFmtId="164" fontId="2" fillId="0" borderId="0" xfId="1" applyNumberFormat="1" applyFont="1" applyAlignment="1">
      <alignment horizontal="center"/>
    </xf>
    <xf numFmtId="164" fontId="3" fillId="0" borderId="0" xfId="1" applyNumberFormat="1" applyFont="1"/>
    <xf numFmtId="164" fontId="2" fillId="0" borderId="0" xfId="1" applyNumberFormat="1" applyFont="1"/>
    <xf numFmtId="164" fontId="2" fillId="0" borderId="0" xfId="1" applyNumberFormat="1" applyFont="1" applyAlignment="1">
      <alignment horizontal="left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164" fontId="2" fillId="2" borderId="4" xfId="1" applyNumberFormat="1" applyFont="1" applyFill="1" applyBorder="1" applyAlignment="1">
      <alignment horizontal="center"/>
    </xf>
    <xf numFmtId="164" fontId="2" fillId="2" borderId="0" xfId="1" applyNumberFormat="1" applyFont="1" applyFill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/>
    </xf>
    <xf numFmtId="164" fontId="2" fillId="2" borderId="6" xfId="1" applyNumberFormat="1" applyFont="1" applyFill="1" applyBorder="1" applyAlignment="1">
      <alignment horizontal="center" vertical="center"/>
    </xf>
    <xf numFmtId="164" fontId="2" fillId="2" borderId="7" xfId="1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/>
    </xf>
    <xf numFmtId="164" fontId="2" fillId="2" borderId="9" xfId="1" applyNumberFormat="1" applyFont="1" applyFill="1" applyBorder="1" applyAlignment="1">
      <alignment horizontal="center"/>
    </xf>
    <xf numFmtId="164" fontId="2" fillId="2" borderId="10" xfId="1" applyNumberFormat="1" applyFont="1" applyFill="1" applyBorder="1" applyAlignment="1">
      <alignment horizontal="center"/>
    </xf>
    <xf numFmtId="164" fontId="2" fillId="2" borderId="11" xfId="1" applyNumberFormat="1" applyFont="1" applyFill="1" applyBorder="1" applyAlignment="1">
      <alignment horizontal="center" vertical="center" wrapText="1"/>
    </xf>
    <xf numFmtId="164" fontId="2" fillId="2" borderId="12" xfId="1" applyNumberFormat="1" applyFont="1" applyFill="1" applyBorder="1" applyAlignment="1">
      <alignment horizontal="center" vertical="center"/>
    </xf>
    <xf numFmtId="164" fontId="2" fillId="2" borderId="13" xfId="1" applyNumberFormat="1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164" fontId="2" fillId="2" borderId="14" xfId="1" applyNumberFormat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/>
    </xf>
    <xf numFmtId="164" fontId="2" fillId="2" borderId="13" xfId="1" applyNumberFormat="1" applyFont="1" applyFill="1" applyBorder="1" applyAlignment="1">
      <alignment horizontal="center" vertical="center"/>
    </xf>
    <xf numFmtId="164" fontId="5" fillId="0" borderId="0" xfId="1" applyNumberFormat="1" applyFont="1"/>
    <xf numFmtId="37" fontId="5" fillId="0" borderId="16" xfId="1" applyNumberFormat="1" applyFont="1" applyBorder="1"/>
    <xf numFmtId="164" fontId="5" fillId="0" borderId="17" xfId="1" applyNumberFormat="1" applyFont="1" applyBorder="1"/>
    <xf numFmtId="164" fontId="5" fillId="0" borderId="18" xfId="1" applyNumberFormat="1" applyFont="1" applyBorder="1"/>
    <xf numFmtId="37" fontId="5" fillId="0" borderId="19" xfId="1" applyNumberFormat="1" applyFont="1" applyBorder="1"/>
    <xf numFmtId="37" fontId="5" fillId="0" borderId="17" xfId="1" applyNumberFormat="1" applyFont="1" applyBorder="1"/>
    <xf numFmtId="164" fontId="5" fillId="0" borderId="20" xfId="1" applyNumberFormat="1" applyFont="1" applyBorder="1"/>
    <xf numFmtId="3" fontId="6" fillId="0" borderId="0" xfId="1" applyNumberFormat="1" applyFont="1"/>
    <xf numFmtId="164" fontId="2" fillId="0" borderId="0" xfId="1" applyNumberFormat="1" applyFont="1" applyAlignment="1">
      <alignment horizontal="centerContinuous"/>
    </xf>
    <xf numFmtId="3" fontId="2" fillId="0" borderId="21" xfId="1" applyNumberFormat="1" applyFont="1" applyBorder="1" applyAlignment="1">
      <alignment horizontal="right"/>
    </xf>
    <xf numFmtId="165" fontId="2" fillId="0" borderId="22" xfId="1" applyNumberFormat="1" applyFont="1" applyBorder="1" applyAlignment="1">
      <alignment horizontal="right"/>
    </xf>
    <xf numFmtId="165" fontId="2" fillId="0" borderId="23" xfId="1" applyNumberFormat="1" applyFont="1" applyBorder="1" applyAlignment="1">
      <alignment horizontal="right"/>
    </xf>
    <xf numFmtId="3" fontId="2" fillId="0" borderId="24" xfId="1" applyNumberFormat="1" applyFont="1" applyBorder="1" applyAlignment="1">
      <alignment horizontal="right"/>
    </xf>
    <xf numFmtId="166" fontId="2" fillId="0" borderId="22" xfId="1" applyNumberFormat="1" applyFont="1" applyBorder="1" applyAlignment="1">
      <alignment horizontal="right"/>
    </xf>
    <xf numFmtId="3" fontId="2" fillId="0" borderId="22" xfId="1" applyNumberFormat="1" applyFont="1" applyBorder="1" applyAlignment="1">
      <alignment horizontal="right"/>
    </xf>
    <xf numFmtId="165" fontId="2" fillId="0" borderId="25" xfId="1" applyNumberFormat="1" applyFont="1" applyBorder="1" applyAlignment="1">
      <alignment horizontal="right"/>
    </xf>
    <xf numFmtId="3" fontId="3" fillId="0" borderId="0" xfId="1" applyNumberFormat="1" applyFont="1"/>
    <xf numFmtId="3" fontId="5" fillId="0" borderId="21" xfId="1" applyNumberFormat="1" applyFont="1" applyBorder="1" applyAlignment="1">
      <alignment horizontal="right"/>
    </xf>
    <xf numFmtId="3" fontId="5" fillId="0" borderId="22" xfId="1" applyNumberFormat="1" applyFont="1" applyBorder="1" applyAlignment="1">
      <alignment horizontal="right"/>
    </xf>
    <xf numFmtId="165" fontId="5" fillId="0" borderId="22" xfId="1" applyNumberFormat="1" applyFont="1" applyBorder="1" applyAlignment="1">
      <alignment horizontal="right"/>
    </xf>
    <xf numFmtId="165" fontId="5" fillId="0" borderId="23" xfId="1" applyNumberFormat="1" applyFont="1" applyBorder="1" applyAlignment="1">
      <alignment horizontal="right"/>
    </xf>
    <xf numFmtId="3" fontId="5" fillId="0" borderId="24" xfId="1" applyNumberFormat="1" applyFont="1" applyBorder="1" applyAlignment="1">
      <alignment horizontal="right"/>
    </xf>
    <xf numFmtId="166" fontId="5" fillId="0" borderId="22" xfId="1" applyNumberFormat="1" applyFont="1" applyBorder="1" applyAlignment="1">
      <alignment horizontal="right"/>
    </xf>
    <xf numFmtId="165" fontId="5" fillId="0" borderId="25" xfId="1" applyNumberFormat="1" applyFont="1" applyBorder="1" applyAlignment="1">
      <alignment horizontal="right"/>
    </xf>
    <xf numFmtId="164" fontId="6" fillId="0" borderId="0" xfId="1" applyNumberFormat="1" applyFont="1"/>
    <xf numFmtId="164" fontId="5" fillId="0" borderId="0" xfId="1" applyNumberFormat="1" applyFont="1" applyAlignment="1">
      <alignment horizontal="left"/>
    </xf>
    <xf numFmtId="164" fontId="5" fillId="0" borderId="0" xfId="1" applyNumberFormat="1" applyFont="1" applyAlignment="1">
      <alignment horizontal="left" indent="2"/>
    </xf>
    <xf numFmtId="164" fontId="5" fillId="0" borderId="0" xfId="1" quotePrefix="1" applyNumberFormat="1" applyFont="1" applyAlignment="1">
      <alignment horizontal="left" indent="2"/>
    </xf>
    <xf numFmtId="164" fontId="5" fillId="0" borderId="0" xfId="3" applyNumberFormat="1" applyFont="1" applyAlignment="1">
      <alignment horizontal="left" wrapText="1" indent="2"/>
    </xf>
    <xf numFmtId="37" fontId="5" fillId="0" borderId="24" xfId="1" applyNumberFormat="1" applyFont="1" applyBorder="1"/>
    <xf numFmtId="37" fontId="5" fillId="0" borderId="22" xfId="1" applyNumberFormat="1" applyFont="1" applyBorder="1"/>
    <xf numFmtId="164" fontId="5" fillId="0" borderId="26" xfId="1" applyNumberFormat="1" applyFont="1" applyBorder="1" applyAlignment="1">
      <alignment horizontal="left"/>
    </xf>
    <xf numFmtId="3" fontId="5" fillId="0" borderId="27" xfId="1" applyNumberFormat="1" applyFont="1" applyBorder="1" applyAlignment="1">
      <alignment horizontal="right"/>
    </xf>
    <xf numFmtId="3" fontId="5" fillId="0" borderId="28" xfId="1" applyNumberFormat="1" applyFont="1" applyBorder="1" applyAlignment="1">
      <alignment horizontal="right"/>
    </xf>
    <xf numFmtId="165" fontId="5" fillId="0" borderId="28" xfId="1" applyNumberFormat="1" applyFont="1" applyBorder="1" applyAlignment="1">
      <alignment horizontal="right"/>
    </xf>
    <xf numFmtId="165" fontId="5" fillId="0" borderId="29" xfId="1" applyNumberFormat="1" applyFont="1" applyBorder="1" applyAlignment="1">
      <alignment horizontal="right"/>
    </xf>
    <xf numFmtId="3" fontId="5" fillId="0" borderId="30" xfId="1" applyNumberFormat="1" applyFont="1" applyBorder="1" applyAlignment="1">
      <alignment horizontal="right"/>
    </xf>
    <xf numFmtId="166" fontId="5" fillId="0" borderId="28" xfId="1" applyNumberFormat="1" applyFont="1" applyBorder="1" applyAlignment="1">
      <alignment horizontal="right"/>
    </xf>
    <xf numFmtId="165" fontId="5" fillId="0" borderId="31" xfId="1" applyNumberFormat="1" applyFont="1" applyBorder="1" applyAlignment="1">
      <alignment horizontal="right"/>
    </xf>
    <xf numFmtId="1" fontId="5" fillId="0" borderId="0" xfId="4" applyNumberFormat="1" applyFont="1" applyAlignment="1">
      <alignment horizontal="left"/>
    </xf>
    <xf numFmtId="3" fontId="5" fillId="0" borderId="0" xfId="1" applyNumberFormat="1" applyFont="1" applyAlignment="1">
      <alignment horizontal="right"/>
    </xf>
    <xf numFmtId="165" fontId="5" fillId="0" borderId="0" xfId="1" applyNumberFormat="1" applyFont="1" applyAlignment="1">
      <alignment horizontal="right"/>
    </xf>
    <xf numFmtId="166" fontId="5" fillId="0" borderId="0" xfId="1" applyNumberFormat="1" applyFont="1" applyAlignment="1">
      <alignment horizontal="right"/>
    </xf>
    <xf numFmtId="164" fontId="5" fillId="0" borderId="0" xfId="5" applyNumberFormat="1" applyFont="1"/>
    <xf numFmtId="37" fontId="5" fillId="0" borderId="0" xfId="1" applyNumberFormat="1" applyFont="1"/>
    <xf numFmtId="165" fontId="5" fillId="0" borderId="0" xfId="1" applyNumberFormat="1" applyFont="1"/>
    <xf numFmtId="167" fontId="5" fillId="0" borderId="0" xfId="1" applyNumberFormat="1" applyFont="1"/>
    <xf numFmtId="166" fontId="8" fillId="0" borderId="0" xfId="1" applyNumberFormat="1" applyFont="1" applyAlignment="1">
      <alignment horizontal="right"/>
    </xf>
    <xf numFmtId="164" fontId="5" fillId="0" borderId="0" xfId="6" applyNumberFormat="1" applyFont="1" applyAlignment="1">
      <alignment horizontal="left"/>
    </xf>
    <xf numFmtId="164" fontId="5" fillId="0" borderId="0" xfId="7" quotePrefix="1" applyNumberFormat="1" applyFont="1"/>
  </cellXfs>
  <cellStyles count="8">
    <cellStyle name="Normal" xfId="0" builtinId="0"/>
    <cellStyle name="Normal 2" xfId="2" xr:uid="{01A3AE81-E6B2-41F9-8BB2-C8468304322A}"/>
    <cellStyle name="Normal_COBERTURA POR REGION 2" xfId="5" xr:uid="{379FCC32-279F-4F9D-A114-E0E27CDD09ED}"/>
    <cellStyle name="Normal_COBERTURA POR REGION 5" xfId="3" xr:uid="{13648F86-4EEE-4C2B-A5EB-E722244AE580}"/>
    <cellStyle name="Normal_CUADRO 32 ANUARIO 2004 6" xfId="4" xr:uid="{CFCABA1E-FCEF-4F08-A677-30064A7DD984}"/>
    <cellStyle name="Normal_CUADRO_31 2003 10" xfId="6" xr:uid="{B00D2157-3DB6-4B2B-AAEA-7ADC57C4E708}"/>
    <cellStyle name="Normal_CUADRO_40 2003" xfId="1" xr:uid="{B30ADDCE-C477-4F72-805A-387B3E355ED6}"/>
    <cellStyle name="Normal_INGRESO A PRENATAL EN ADOLSCENTE" xfId="7" xr:uid="{9C031E2E-2014-491A-BDC1-FF817EEF0B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0.26.22\Estadistica\Documents%20and%20Settings\usuario\Mis%20documentos\Anuario%202006\ANUARIO%202006\Documents%20and%20Settings\gmcleary\Mis%20documentos\ANUARIOS\anuario%202004\archivos%20del%20normativo\salud%20bucal\SALUD%20BUCAL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0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-16"/>
      <sheetName val="C-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8A8E1-A7E3-422C-AA8B-24ED9FC11ED3}">
  <sheetPr syncVertical="1" syncRef="A1">
    <pageSetUpPr fitToPage="1"/>
  </sheetPr>
  <dimension ref="A1:P78"/>
  <sheetViews>
    <sheetView tabSelected="1" view="pageBreakPreview" zoomScaleNormal="100" zoomScaleSheetLayoutView="100" workbookViewId="0">
      <selection activeCell="C15" sqref="C15"/>
    </sheetView>
  </sheetViews>
  <sheetFormatPr baseColWidth="10" defaultColWidth="9.28515625" defaultRowHeight="15.75" x14ac:dyDescent="0.25"/>
  <cols>
    <col min="1" max="1" width="21.140625" style="24" customWidth="1"/>
    <col min="2" max="2" width="13" style="24" customWidth="1"/>
    <col min="3" max="3" width="12.28515625" style="24" customWidth="1"/>
    <col min="4" max="4" width="12.42578125" style="24" customWidth="1"/>
    <col min="5" max="5" width="11.140625" style="24" customWidth="1"/>
    <col min="6" max="6" width="13" style="24" customWidth="1"/>
    <col min="7" max="7" width="12" style="24" customWidth="1"/>
    <col min="8" max="8" width="14.42578125" style="24" customWidth="1"/>
    <col min="9" max="9" width="10.7109375" style="24" customWidth="1"/>
    <col min="10" max="10" width="13" style="24" customWidth="1"/>
    <col min="11" max="11" width="12.42578125" style="24" customWidth="1"/>
    <col min="12" max="12" width="13.85546875" style="24" customWidth="1"/>
    <col min="13" max="13" width="10.85546875" style="24" customWidth="1"/>
    <col min="14" max="14" width="13.140625" style="48" hidden="1" customWidth="1"/>
    <col min="15" max="15" width="13.5703125" style="48" hidden="1" customWidth="1"/>
    <col min="16" max="16" width="15.28515625" style="48" hidden="1" customWidth="1"/>
    <col min="17" max="18" width="9.28515625" style="24" customWidth="1"/>
    <col min="19" max="16384" width="9.28515625" style="24"/>
  </cols>
  <sheetData>
    <row r="1" spans="1:16" s="3" customFormat="1" ht="20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</row>
    <row r="2" spans="1:16" s="3" customFormat="1" ht="18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</row>
    <row r="3" spans="1:16" s="3" customFormat="1" ht="16.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"/>
      <c r="O3" s="2"/>
      <c r="P3" s="2"/>
    </row>
    <row r="4" spans="1:16" s="3" customFormat="1" ht="16.5" customHeight="1" thickTop="1" x14ac:dyDescent="0.25">
      <c r="A4" s="5" t="s">
        <v>2</v>
      </c>
      <c r="B4" s="6" t="s">
        <v>3</v>
      </c>
      <c r="C4" s="7"/>
      <c r="D4" s="7"/>
      <c r="E4" s="8"/>
      <c r="F4" s="9" t="s">
        <v>4</v>
      </c>
      <c r="G4" s="9"/>
      <c r="H4" s="9"/>
      <c r="I4" s="9"/>
      <c r="J4" s="9"/>
      <c r="K4" s="9"/>
      <c r="L4" s="9"/>
      <c r="M4" s="9"/>
      <c r="N4" s="2"/>
      <c r="O4" s="2"/>
      <c r="P4" s="2"/>
    </row>
    <row r="5" spans="1:16" s="3" customFormat="1" x14ac:dyDescent="0.25">
      <c r="A5" s="10"/>
      <c r="B5" s="11"/>
      <c r="C5" s="12"/>
      <c r="D5" s="12"/>
      <c r="E5" s="13"/>
      <c r="F5" s="14" t="s">
        <v>5</v>
      </c>
      <c r="G5" s="14"/>
      <c r="H5" s="14"/>
      <c r="I5" s="15"/>
      <c r="J5" s="16" t="s">
        <v>6</v>
      </c>
      <c r="K5" s="14"/>
      <c r="L5" s="14"/>
      <c r="M5" s="14"/>
      <c r="N5" s="2"/>
      <c r="O5" s="2"/>
      <c r="P5" s="2"/>
    </row>
    <row r="6" spans="1:16" s="3" customFormat="1" ht="48" customHeight="1" thickBot="1" x14ac:dyDescent="0.3">
      <c r="A6" s="17"/>
      <c r="B6" s="18" t="s">
        <v>7</v>
      </c>
      <c r="C6" s="19" t="s">
        <v>8</v>
      </c>
      <c r="D6" s="20" t="s">
        <v>9</v>
      </c>
      <c r="E6" s="21" t="s">
        <v>10</v>
      </c>
      <c r="F6" s="22" t="s">
        <v>7</v>
      </c>
      <c r="G6" s="23" t="s">
        <v>8</v>
      </c>
      <c r="H6" s="20" t="s">
        <v>11</v>
      </c>
      <c r="I6" s="19" t="s">
        <v>12</v>
      </c>
      <c r="J6" s="23" t="s">
        <v>7</v>
      </c>
      <c r="K6" s="23" t="s">
        <v>8</v>
      </c>
      <c r="L6" s="20" t="s">
        <v>13</v>
      </c>
      <c r="M6" s="19" t="s">
        <v>14</v>
      </c>
      <c r="N6" s="2" t="s">
        <v>15</v>
      </c>
      <c r="O6" s="2" t="s">
        <v>16</v>
      </c>
      <c r="P6" s="2" t="s">
        <v>17</v>
      </c>
    </row>
    <row r="7" spans="1:16" ht="16.5" thickTop="1" x14ac:dyDescent="0.25">
      <c r="B7" s="25"/>
      <c r="C7" s="25"/>
      <c r="D7" s="26"/>
      <c r="E7" s="27"/>
      <c r="F7" s="28"/>
      <c r="G7" s="26"/>
      <c r="H7" s="29"/>
      <c r="I7" s="26"/>
      <c r="J7" s="29"/>
      <c r="K7" s="29"/>
      <c r="L7" s="26"/>
      <c r="M7" s="30"/>
      <c r="N7" s="31"/>
      <c r="O7" s="31"/>
      <c r="P7" s="31"/>
    </row>
    <row r="8" spans="1:16" x14ac:dyDescent="0.25">
      <c r="A8" s="32" t="s">
        <v>18</v>
      </c>
      <c r="B8" s="33">
        <f>+B10+B12+B14+B16+B18+B22+B24+B26+B33+B35+B37+B39</f>
        <v>598307</v>
      </c>
      <c r="C8" s="33">
        <f>+C10+C12+C14+C16+C18+C22+C24+C26+C33+C35+C37+C39</f>
        <v>384269</v>
      </c>
      <c r="D8" s="34">
        <f>+B8/C8</f>
        <v>1.557000434591393</v>
      </c>
      <c r="E8" s="35">
        <f>+C8/P8*100</f>
        <v>13.92945681610655</v>
      </c>
      <c r="F8" s="36">
        <f>+F10+F12+F14+F16+F18+F22+F24+F26+F33+F35+F37+F39</f>
        <v>449111</v>
      </c>
      <c r="G8" s="36">
        <f>+G10+G12+G14+G16+G18+G22+G24+G26+G33+G35+G37+G39</f>
        <v>307657</v>
      </c>
      <c r="H8" s="37">
        <f>+F8/G8</f>
        <v>1.459778259555284</v>
      </c>
      <c r="I8" s="37">
        <f>+G8/N8*100</f>
        <v>13.68322270033468</v>
      </c>
      <c r="J8" s="38">
        <f>+J10+J12+J14+J16+J18+J22+J24+J26+J33+J35+J37+J39</f>
        <v>149196</v>
      </c>
      <c r="K8" s="38">
        <f>+K10+K12+K14+K16+K18+K22+K24+K26+K33+K35+K37+K39</f>
        <v>76612</v>
      </c>
      <c r="L8" s="34">
        <f>+J8/K8</f>
        <v>1.9474233801493239</v>
      </c>
      <c r="M8" s="39">
        <f>+K8/O8*100</f>
        <v>15.014482982984944</v>
      </c>
      <c r="N8" s="40">
        <f>342939+321839+310632+297232+284199+265049+230756+195779</f>
        <v>2248425</v>
      </c>
      <c r="O8" s="40">
        <f>155052+118700+88880+64065+83557</f>
        <v>510254</v>
      </c>
      <c r="P8" s="40">
        <f>+N8+O8</f>
        <v>2758679</v>
      </c>
    </row>
    <row r="9" spans="1:16" ht="9" customHeight="1" x14ac:dyDescent="0.25">
      <c r="B9" s="41"/>
      <c r="C9" s="42"/>
      <c r="D9" s="43"/>
      <c r="E9" s="44"/>
      <c r="F9" s="45"/>
      <c r="G9" s="42"/>
      <c r="H9" s="46"/>
      <c r="I9" s="37"/>
      <c r="J9" s="42"/>
      <c r="K9" s="42"/>
      <c r="L9" s="43"/>
      <c r="M9" s="47"/>
    </row>
    <row r="10" spans="1:16" x14ac:dyDescent="0.25">
      <c r="A10" s="49" t="s">
        <v>19</v>
      </c>
      <c r="B10" s="41">
        <f t="shared" ref="B10:C39" si="0">+F10+J10</f>
        <v>12587</v>
      </c>
      <c r="C10" s="42">
        <f t="shared" si="0"/>
        <v>7474</v>
      </c>
      <c r="D10" s="43">
        <f t="shared" ref="D10:D39" si="1">+B10/C10</f>
        <v>1.684104896976184</v>
      </c>
      <c r="E10" s="44">
        <f t="shared" ref="E10:E39" si="2">+C10/P10*100</f>
        <v>8.1103370445124465</v>
      </c>
      <c r="F10" s="45">
        <v>10821</v>
      </c>
      <c r="G10" s="45">
        <v>6619</v>
      </c>
      <c r="H10" s="46">
        <f t="shared" ref="H10:H39" si="3">+F10/G10</f>
        <v>1.6348390995618673</v>
      </c>
      <c r="I10" s="37">
        <f t="shared" ref="I10:I39" si="4">+G10/N10*100</f>
        <v>8.1061552404046342</v>
      </c>
      <c r="J10" s="45">
        <v>1766</v>
      </c>
      <c r="K10" s="45">
        <v>855</v>
      </c>
      <c r="L10" s="43">
        <f t="shared" ref="L10:L39" si="5">+J10/K10</f>
        <v>2.0654970760233917</v>
      </c>
      <c r="M10" s="47">
        <f t="shared" ref="M10:M39" si="6">+K10/O10*100</f>
        <v>8.1428571428571441</v>
      </c>
      <c r="N10" s="31">
        <f>16152+13367+12265+10464+9184+8249+6589+5384</f>
        <v>81654</v>
      </c>
      <c r="O10" s="31">
        <f>3863+2577+1838+1156+1066</f>
        <v>10500</v>
      </c>
      <c r="P10" s="31">
        <f>+N10+O10</f>
        <v>92154</v>
      </c>
    </row>
    <row r="11" spans="1:16" x14ac:dyDescent="0.25">
      <c r="B11" s="41"/>
      <c r="C11" s="42"/>
      <c r="D11" s="43"/>
      <c r="E11" s="44"/>
      <c r="F11" s="45"/>
      <c r="G11" s="42"/>
      <c r="H11" s="46"/>
      <c r="I11" s="37"/>
      <c r="J11" s="42"/>
      <c r="K11" s="42"/>
      <c r="L11" s="43"/>
      <c r="M11" s="47"/>
      <c r="N11" s="31"/>
      <c r="O11" s="31"/>
      <c r="P11" s="31"/>
    </row>
    <row r="12" spans="1:16" x14ac:dyDescent="0.25">
      <c r="A12" s="49" t="s">
        <v>20</v>
      </c>
      <c r="B12" s="41">
        <f t="shared" si="0"/>
        <v>59987</v>
      </c>
      <c r="C12" s="42">
        <f t="shared" si="0"/>
        <v>35661</v>
      </c>
      <c r="D12" s="43">
        <f t="shared" si="1"/>
        <v>1.6821457614761224</v>
      </c>
      <c r="E12" s="44">
        <f t="shared" si="2"/>
        <v>20.776383402663683</v>
      </c>
      <c r="F12" s="45">
        <v>39262</v>
      </c>
      <c r="G12" s="45">
        <v>24800</v>
      </c>
      <c r="H12" s="46">
        <f t="shared" si="3"/>
        <v>1.5831451612903227</v>
      </c>
      <c r="I12" s="37">
        <f t="shared" si="4"/>
        <v>18.121766579954986</v>
      </c>
      <c r="J12" s="45">
        <v>20725</v>
      </c>
      <c r="K12" s="45">
        <v>10861</v>
      </c>
      <c r="L12" s="43">
        <f t="shared" si="5"/>
        <v>1.9082036644876161</v>
      </c>
      <c r="M12" s="47">
        <f t="shared" si="6"/>
        <v>31.218741017533773</v>
      </c>
      <c r="N12" s="31">
        <f>24213+22551+19996+16402+14475+14396+13169+11650</f>
        <v>136852</v>
      </c>
      <c r="O12" s="31">
        <f>9567+7688+6392+4942+6201</f>
        <v>34790</v>
      </c>
      <c r="P12" s="31">
        <f>+N12+O12</f>
        <v>171642</v>
      </c>
    </row>
    <row r="13" spans="1:16" x14ac:dyDescent="0.25">
      <c r="B13" s="41"/>
      <c r="C13" s="42"/>
      <c r="D13" s="43"/>
      <c r="E13" s="44"/>
      <c r="F13" s="45"/>
      <c r="G13" s="42"/>
      <c r="H13" s="46"/>
      <c r="I13" s="37"/>
      <c r="J13" s="42"/>
      <c r="K13" s="42"/>
      <c r="L13" s="43"/>
      <c r="M13" s="47"/>
      <c r="N13" s="31"/>
      <c r="O13" s="31"/>
      <c r="P13" s="31"/>
    </row>
    <row r="14" spans="1:16" x14ac:dyDescent="0.25">
      <c r="A14" s="49" t="s">
        <v>21</v>
      </c>
      <c r="B14" s="41">
        <f t="shared" si="0"/>
        <v>40804</v>
      </c>
      <c r="C14" s="42">
        <f t="shared" si="0"/>
        <v>26704</v>
      </c>
      <c r="D14" s="43">
        <f t="shared" si="1"/>
        <v>1.5280107849011384</v>
      </c>
      <c r="E14" s="44">
        <f t="shared" si="2"/>
        <v>15.033919774806476</v>
      </c>
      <c r="F14" s="45">
        <v>29033</v>
      </c>
      <c r="G14" s="45">
        <v>20181</v>
      </c>
      <c r="H14" s="46">
        <f t="shared" si="3"/>
        <v>1.4386303949259205</v>
      </c>
      <c r="I14" s="37">
        <f t="shared" si="4"/>
        <v>13.585965006765718</v>
      </c>
      <c r="J14" s="45">
        <v>11771</v>
      </c>
      <c r="K14" s="45">
        <v>6523</v>
      </c>
      <c r="L14" s="43">
        <f t="shared" si="5"/>
        <v>1.8045377893607235</v>
      </c>
      <c r="M14" s="47">
        <f t="shared" si="6"/>
        <v>22.429681589986934</v>
      </c>
      <c r="N14" s="31">
        <f>24593+22368+20836+19083+17875+16736+14734+12318</f>
        <v>148543</v>
      </c>
      <c r="O14" s="31">
        <f>9409+7053+5103+3291+4226</f>
        <v>29082</v>
      </c>
      <c r="P14" s="31">
        <f>+N14+O14</f>
        <v>177625</v>
      </c>
    </row>
    <row r="15" spans="1:16" x14ac:dyDescent="0.25">
      <c r="B15" s="41"/>
      <c r="C15" s="42"/>
      <c r="D15" s="43"/>
      <c r="E15" s="44"/>
      <c r="F15" s="45"/>
      <c r="G15" s="42"/>
      <c r="H15" s="46"/>
      <c r="I15" s="37"/>
      <c r="J15" s="42"/>
      <c r="K15" s="42"/>
      <c r="L15" s="43"/>
      <c r="M15" s="47"/>
      <c r="N15" s="31"/>
      <c r="O15" s="31"/>
      <c r="P15" s="31"/>
    </row>
    <row r="16" spans="1:16" x14ac:dyDescent="0.25">
      <c r="A16" s="49" t="s">
        <v>22</v>
      </c>
      <c r="B16" s="41">
        <f t="shared" si="0"/>
        <v>74985</v>
      </c>
      <c r="C16" s="42">
        <f t="shared" si="0"/>
        <v>52342</v>
      </c>
      <c r="D16" s="43">
        <f t="shared" si="1"/>
        <v>1.4325971495166405</v>
      </c>
      <c r="E16" s="44">
        <f t="shared" si="2"/>
        <v>17.917549558924716</v>
      </c>
      <c r="F16" s="45">
        <v>54529</v>
      </c>
      <c r="G16" s="45">
        <v>41496</v>
      </c>
      <c r="H16" s="46">
        <f t="shared" si="3"/>
        <v>1.3140784653942548</v>
      </c>
      <c r="I16" s="37">
        <f t="shared" si="4"/>
        <v>18.419989612787813</v>
      </c>
      <c r="J16" s="45">
        <v>20456</v>
      </c>
      <c r="K16" s="45">
        <v>10846</v>
      </c>
      <c r="L16" s="43">
        <f t="shared" si="5"/>
        <v>1.8860409367508759</v>
      </c>
      <c r="M16" s="47">
        <f t="shared" si="6"/>
        <v>16.224382946896036</v>
      </c>
      <c r="N16" s="31">
        <f>37426+33440+29073+26926+25009+24962+25183+23258</f>
        <v>225277</v>
      </c>
      <c r="O16" s="31">
        <f>19032+15125+11490+8549+12654</f>
        <v>66850</v>
      </c>
      <c r="P16" s="31">
        <f>+N16+O16</f>
        <v>292127</v>
      </c>
    </row>
    <row r="17" spans="1:16" x14ac:dyDescent="0.25">
      <c r="B17" s="41"/>
      <c r="C17" s="42"/>
      <c r="D17" s="43"/>
      <c r="E17" s="44"/>
      <c r="F17" s="45"/>
      <c r="G17" s="42"/>
      <c r="H17" s="37"/>
      <c r="I17" s="37"/>
      <c r="J17" s="42"/>
      <c r="K17" s="42"/>
      <c r="L17" s="43"/>
      <c r="M17" s="47"/>
      <c r="N17" s="31"/>
      <c r="O17" s="31"/>
      <c r="P17" s="31"/>
    </row>
    <row r="18" spans="1:16" s="3" customFormat="1" x14ac:dyDescent="0.25">
      <c r="A18" s="4" t="s">
        <v>23</v>
      </c>
      <c r="B18" s="33">
        <f t="shared" si="0"/>
        <v>16396</v>
      </c>
      <c r="C18" s="38">
        <f t="shared" si="0"/>
        <v>7667</v>
      </c>
      <c r="D18" s="34">
        <f t="shared" si="1"/>
        <v>2.1385157167079694</v>
      </c>
      <c r="E18" s="35">
        <f t="shared" si="2"/>
        <v>19.227104022469657</v>
      </c>
      <c r="F18" s="36">
        <v>10466</v>
      </c>
      <c r="G18" s="36">
        <v>4934</v>
      </c>
      <c r="H18" s="37">
        <f t="shared" si="3"/>
        <v>2.1211998378597485</v>
      </c>
      <c r="I18" s="37">
        <f t="shared" si="4"/>
        <v>14.98739406457884</v>
      </c>
      <c r="J18" s="36">
        <v>5930</v>
      </c>
      <c r="K18" s="36">
        <v>2733</v>
      </c>
      <c r="L18" s="34">
        <f t="shared" si="5"/>
        <v>2.1697768020490305</v>
      </c>
      <c r="M18" s="39">
        <f t="shared" si="6"/>
        <v>39.295470884255927</v>
      </c>
      <c r="N18" s="40">
        <f>7254+6515+4996+3511+2995+2821+2455+2374</f>
        <v>32921</v>
      </c>
      <c r="O18" s="40">
        <f>1947+1701+1233+998+1076</f>
        <v>6955</v>
      </c>
      <c r="P18" s="40">
        <f>+N18+O18</f>
        <v>39876</v>
      </c>
    </row>
    <row r="19" spans="1:16" x14ac:dyDescent="0.25">
      <c r="A19" s="50" t="s">
        <v>24</v>
      </c>
      <c r="B19" s="41">
        <f t="shared" si="0"/>
        <v>2530</v>
      </c>
      <c r="C19" s="42">
        <f t="shared" si="0"/>
        <v>1488</v>
      </c>
      <c r="D19" s="43">
        <f t="shared" si="1"/>
        <v>1.700268817204301</v>
      </c>
      <c r="E19" s="44">
        <f t="shared" si="2"/>
        <v>22.345697552185012</v>
      </c>
      <c r="F19" s="45">
        <v>1532</v>
      </c>
      <c r="G19" s="45">
        <v>897</v>
      </c>
      <c r="H19" s="46">
        <f t="shared" si="3"/>
        <v>1.7079152731326643</v>
      </c>
      <c r="I19" s="46">
        <f t="shared" si="4"/>
        <v>15.966536133855463</v>
      </c>
      <c r="J19" s="45">
        <v>998</v>
      </c>
      <c r="K19" s="45">
        <v>591</v>
      </c>
      <c r="L19" s="43">
        <f t="shared" si="5"/>
        <v>1.6886632825719121</v>
      </c>
      <c r="M19" s="47">
        <f t="shared" si="6"/>
        <v>56.77233429394812</v>
      </c>
      <c r="N19" s="31">
        <f>1305+1107+889+652+521+409+381+354</f>
        <v>5618</v>
      </c>
      <c r="O19" s="31">
        <f>336+273+184+131+117</f>
        <v>1041</v>
      </c>
      <c r="P19" s="31">
        <f>+N19+O19</f>
        <v>6659</v>
      </c>
    </row>
    <row r="20" spans="1:16" x14ac:dyDescent="0.25">
      <c r="A20" s="50" t="s">
        <v>25</v>
      </c>
      <c r="B20" s="41">
        <f t="shared" si="0"/>
        <v>13866</v>
      </c>
      <c r="C20" s="42">
        <f t="shared" si="0"/>
        <v>6179</v>
      </c>
      <c r="D20" s="43">
        <f t="shared" si="1"/>
        <v>2.244052435669202</v>
      </c>
      <c r="E20" s="44">
        <f t="shared" si="2"/>
        <v>18.601920703254358</v>
      </c>
      <c r="F20" s="45">
        <f>2380+2961+3593</f>
        <v>8934</v>
      </c>
      <c r="G20" s="45">
        <f>1285+689+2063</f>
        <v>4037</v>
      </c>
      <c r="H20" s="46">
        <f t="shared" si="3"/>
        <v>2.2130294773346546</v>
      </c>
      <c r="I20" s="46">
        <f t="shared" si="4"/>
        <v>14.785920961066548</v>
      </c>
      <c r="J20" s="45">
        <f>1729+1485+1718</f>
        <v>4932</v>
      </c>
      <c r="K20" s="45">
        <f>683+441+1018</f>
        <v>2142</v>
      </c>
      <c r="L20" s="43">
        <f t="shared" si="5"/>
        <v>2.3025210084033612</v>
      </c>
      <c r="M20" s="47">
        <f t="shared" si="6"/>
        <v>36.219141021305376</v>
      </c>
      <c r="N20" s="31">
        <f>5949+5408+4107+2859+2474+2412+2074+2020</f>
        <v>27303</v>
      </c>
      <c r="O20" s="31">
        <f>1611+1428+1049+867+959</f>
        <v>5914</v>
      </c>
      <c r="P20" s="31">
        <f>+N20+O20</f>
        <v>33217</v>
      </c>
    </row>
    <row r="21" spans="1:16" x14ac:dyDescent="0.25">
      <c r="B21" s="41"/>
      <c r="C21" s="38"/>
      <c r="D21" s="43"/>
      <c r="E21" s="44"/>
      <c r="F21" s="45"/>
      <c r="G21" s="42"/>
      <c r="H21" s="46"/>
      <c r="I21" s="37"/>
      <c r="J21" s="42"/>
      <c r="K21" s="42"/>
      <c r="L21" s="43"/>
      <c r="M21" s="47"/>
      <c r="N21" s="31"/>
      <c r="O21" s="31"/>
      <c r="P21" s="31"/>
    </row>
    <row r="22" spans="1:16" x14ac:dyDescent="0.25">
      <c r="A22" s="49" t="s">
        <v>26</v>
      </c>
      <c r="B22" s="41">
        <f t="shared" si="0"/>
        <v>26404</v>
      </c>
      <c r="C22" s="42">
        <f t="shared" si="0"/>
        <v>14335</v>
      </c>
      <c r="D22" s="43">
        <f t="shared" si="1"/>
        <v>1.8419253575165679</v>
      </c>
      <c r="E22" s="44">
        <f t="shared" si="2"/>
        <v>16.964497041420117</v>
      </c>
      <c r="F22" s="45">
        <v>17257</v>
      </c>
      <c r="G22" s="45">
        <v>10936</v>
      </c>
      <c r="H22" s="46">
        <f t="shared" si="3"/>
        <v>1.5779992684711046</v>
      </c>
      <c r="I22" s="46">
        <f t="shared" si="4"/>
        <v>17.39517719666603</v>
      </c>
      <c r="J22" s="45">
        <v>9147</v>
      </c>
      <c r="K22" s="45">
        <v>3399</v>
      </c>
      <c r="L22" s="43">
        <f t="shared" si="5"/>
        <v>2.6910856134157104</v>
      </c>
      <c r="M22" s="47">
        <f t="shared" si="6"/>
        <v>15.712832840236688</v>
      </c>
      <c r="N22" s="31">
        <f>9699+9021+9011+7695+6757+7179+6938+6568</f>
        <v>62868</v>
      </c>
      <c r="O22" s="31">
        <f>5862+4859+3993+3092+3826</f>
        <v>21632</v>
      </c>
      <c r="P22" s="31">
        <f>+N22+O22</f>
        <v>84500</v>
      </c>
    </row>
    <row r="23" spans="1:16" x14ac:dyDescent="0.25">
      <c r="A23" s="24" t="s">
        <v>27</v>
      </c>
      <c r="B23" s="41"/>
      <c r="C23" s="42"/>
      <c r="D23" s="43"/>
      <c r="E23" s="44"/>
      <c r="F23" s="45"/>
      <c r="G23" s="42"/>
      <c r="H23" s="46"/>
      <c r="I23" s="46"/>
      <c r="J23" s="42"/>
      <c r="K23" s="42"/>
      <c r="L23" s="43"/>
      <c r="M23" s="47"/>
      <c r="N23" s="31"/>
      <c r="O23" s="31"/>
      <c r="P23" s="31"/>
    </row>
    <row r="24" spans="1:16" x14ac:dyDescent="0.25">
      <c r="A24" s="49" t="s">
        <v>28</v>
      </c>
      <c r="B24" s="41">
        <f t="shared" si="0"/>
        <v>30767</v>
      </c>
      <c r="C24" s="42">
        <f t="shared" si="0"/>
        <v>12663</v>
      </c>
      <c r="D24" s="43">
        <f t="shared" si="1"/>
        <v>2.429677011766564</v>
      </c>
      <c r="E24" s="44">
        <f t="shared" si="2"/>
        <v>17.710241814799794</v>
      </c>
      <c r="F24" s="45">
        <v>19604</v>
      </c>
      <c r="G24" s="45">
        <v>8754</v>
      </c>
      <c r="H24" s="46">
        <f t="shared" si="3"/>
        <v>2.2394334018734292</v>
      </c>
      <c r="I24" s="46">
        <f t="shared" si="4"/>
        <v>17.241786811628458</v>
      </c>
      <c r="J24" s="45">
        <v>11163</v>
      </c>
      <c r="K24" s="45">
        <v>3909</v>
      </c>
      <c r="L24" s="43">
        <f t="shared" si="5"/>
        <v>2.8557175748273216</v>
      </c>
      <c r="M24" s="47">
        <f t="shared" si="6"/>
        <v>18.857639056394422</v>
      </c>
      <c r="N24" s="31">
        <f>7020+6746+6780+6225+5587+6398+6202+5814</f>
        <v>50772</v>
      </c>
      <c r="O24" s="31">
        <f>5181+4617+3768+2986+4177</f>
        <v>20729</v>
      </c>
      <c r="P24" s="31">
        <f>+N24+O24</f>
        <v>71501</v>
      </c>
    </row>
    <row r="25" spans="1:16" x14ac:dyDescent="0.25">
      <c r="B25" s="41"/>
      <c r="C25" s="42"/>
      <c r="D25" s="43"/>
      <c r="E25" s="44"/>
      <c r="F25" s="45"/>
      <c r="G25" s="42"/>
      <c r="H25" s="46"/>
      <c r="I25" s="37"/>
      <c r="J25" s="42"/>
      <c r="K25" s="42"/>
      <c r="L25" s="43"/>
      <c r="M25" s="47"/>
      <c r="N25" s="31"/>
      <c r="O25" s="31"/>
      <c r="P25" s="31"/>
    </row>
    <row r="26" spans="1:16" x14ac:dyDescent="0.25">
      <c r="A26" s="3" t="s">
        <v>29</v>
      </c>
      <c r="B26" s="33">
        <f t="shared" si="0"/>
        <v>206024</v>
      </c>
      <c r="C26" s="38">
        <f t="shared" si="0"/>
        <v>148015</v>
      </c>
      <c r="D26" s="34">
        <f t="shared" si="1"/>
        <v>1.3919129817923859</v>
      </c>
      <c r="E26" s="35">
        <f t="shared" si="2"/>
        <v>11.646131948318446</v>
      </c>
      <c r="F26" s="36">
        <v>173947</v>
      </c>
      <c r="G26" s="38">
        <v>130040</v>
      </c>
      <c r="H26" s="37">
        <f t="shared" si="3"/>
        <v>1.3376422639187941</v>
      </c>
      <c r="I26" s="37">
        <f t="shared" si="4"/>
        <v>14.687180228552583</v>
      </c>
      <c r="J26" s="38">
        <v>32077</v>
      </c>
      <c r="K26" s="38">
        <v>17975</v>
      </c>
      <c r="L26" s="34">
        <f t="shared" si="5"/>
        <v>1.7845340751043115</v>
      </c>
      <c r="M26" s="39">
        <f t="shared" si="6"/>
        <v>4.6623039433105342</v>
      </c>
      <c r="N26" s="40">
        <f>SUM(N28:N31)</f>
        <v>885398</v>
      </c>
      <c r="O26" s="40">
        <f>SUM(O28:O31)</f>
        <v>385539</v>
      </c>
      <c r="P26" s="40">
        <f>+N26+O26</f>
        <v>1270937</v>
      </c>
    </row>
    <row r="27" spans="1:16" ht="10.5" customHeight="1" x14ac:dyDescent="0.25">
      <c r="B27" s="41"/>
      <c r="C27" s="38"/>
      <c r="D27" s="43"/>
      <c r="E27" s="44"/>
      <c r="F27" s="45"/>
      <c r="G27" s="42"/>
      <c r="H27" s="46"/>
      <c r="I27" s="37"/>
      <c r="J27" s="42"/>
      <c r="K27" s="42"/>
      <c r="L27" s="43"/>
      <c r="M27" s="47"/>
      <c r="N27" s="31"/>
      <c r="O27" s="31"/>
      <c r="P27" s="31"/>
    </row>
    <row r="28" spans="1:16" x14ac:dyDescent="0.25">
      <c r="A28" s="50" t="s">
        <v>30</v>
      </c>
      <c r="B28" s="41">
        <f t="shared" si="0"/>
        <v>24458</v>
      </c>
      <c r="C28" s="42">
        <f t="shared" si="0"/>
        <v>15838</v>
      </c>
      <c r="D28" s="43">
        <f t="shared" si="1"/>
        <v>1.5442606389695668</v>
      </c>
      <c r="E28" s="44">
        <f t="shared" si="2"/>
        <v>17.782318729930612</v>
      </c>
      <c r="F28" s="45">
        <v>17015</v>
      </c>
      <c r="G28" s="45">
        <v>12077</v>
      </c>
      <c r="H28" s="46">
        <f t="shared" si="3"/>
        <v>1.4088763765835886</v>
      </c>
      <c r="I28" s="46">
        <f t="shared" si="4"/>
        <v>17.724064045553941</v>
      </c>
      <c r="J28" s="45">
        <v>7443</v>
      </c>
      <c r="K28" s="45">
        <v>3761</v>
      </c>
      <c r="L28" s="43">
        <f t="shared" si="5"/>
        <v>1.9789949481520872</v>
      </c>
      <c r="M28" s="47">
        <f t="shared" si="6"/>
        <v>17.971997897453051</v>
      </c>
      <c r="N28" s="31">
        <f>10463+10516+10229+10257+9870+9273+7531</f>
        <v>68139</v>
      </c>
      <c r="O28" s="31">
        <f>5865+4311+3249+2723+1996+1336+1447</f>
        <v>20927</v>
      </c>
      <c r="P28" s="31">
        <f>+N28+O28</f>
        <v>89066</v>
      </c>
    </row>
    <row r="29" spans="1:16" x14ac:dyDescent="0.25">
      <c r="A29" s="51" t="s">
        <v>31</v>
      </c>
      <c r="B29" s="41">
        <f t="shared" si="0"/>
        <v>131251</v>
      </c>
      <c r="C29" s="42">
        <f t="shared" si="0"/>
        <v>94183</v>
      </c>
      <c r="D29" s="43">
        <f t="shared" si="1"/>
        <v>1.3935742119066072</v>
      </c>
      <c r="E29" s="44">
        <f t="shared" si="2"/>
        <v>13.925721991234971</v>
      </c>
      <c r="F29" s="45">
        <v>117427</v>
      </c>
      <c r="G29" s="45">
        <v>86219</v>
      </c>
      <c r="H29" s="46">
        <f t="shared" si="3"/>
        <v>1.3619619805379324</v>
      </c>
      <c r="I29" s="46">
        <f t="shared" si="4"/>
        <v>18.6414219708419</v>
      </c>
      <c r="J29" s="45">
        <v>13824</v>
      </c>
      <c r="K29" s="45">
        <v>7964</v>
      </c>
      <c r="L29" s="43">
        <f t="shared" si="5"/>
        <v>1.7358111501757911</v>
      </c>
      <c r="M29" s="47">
        <f t="shared" si="6"/>
        <v>3.7247849736449483</v>
      </c>
      <c r="N29" s="31">
        <f>62125+64424+64877+66256+69397+69346+66088</f>
        <v>462513</v>
      </c>
      <c r="O29" s="31">
        <f>55841+45040+35223+26374+18993+13284+19056</f>
        <v>213811</v>
      </c>
      <c r="P29" s="31">
        <f>+N29+O29</f>
        <v>676324</v>
      </c>
    </row>
    <row r="30" spans="1:16" x14ac:dyDescent="0.25">
      <c r="A30" s="51" t="s">
        <v>32</v>
      </c>
      <c r="B30" s="41">
        <f t="shared" si="0"/>
        <v>13188</v>
      </c>
      <c r="C30" s="42">
        <f t="shared" si="0"/>
        <v>9724</v>
      </c>
      <c r="D30" s="43">
        <f t="shared" si="1"/>
        <v>1.3562320032908268</v>
      </c>
      <c r="E30" s="44">
        <f t="shared" si="2"/>
        <v>4.5628589661774095</v>
      </c>
      <c r="F30" s="45">
        <v>9558</v>
      </c>
      <c r="G30" s="45">
        <v>7373</v>
      </c>
      <c r="H30" s="46">
        <f t="shared" si="3"/>
        <v>1.2963515529635155</v>
      </c>
      <c r="I30" s="46">
        <f t="shared" si="4"/>
        <v>4.6099113406444996</v>
      </c>
      <c r="J30" s="45">
        <v>3630</v>
      </c>
      <c r="K30" s="45">
        <v>2351</v>
      </c>
      <c r="L30" s="43">
        <f t="shared" si="5"/>
        <v>1.5440238196512122</v>
      </c>
      <c r="M30" s="47">
        <f t="shared" si="6"/>
        <v>4.4213337345319141</v>
      </c>
      <c r="N30" s="31">
        <f>24986+21774+21134+22535+24556+23939+21014</f>
        <v>159938</v>
      </c>
      <c r="O30" s="31">
        <f>16530+12840+8707+5596+3984+2562+2955</f>
        <v>53174</v>
      </c>
      <c r="P30" s="31">
        <f>+N30+O30</f>
        <v>213112</v>
      </c>
    </row>
    <row r="31" spans="1:16" ht="15.75" customHeight="1" x14ac:dyDescent="0.25">
      <c r="A31" s="52" t="s">
        <v>33</v>
      </c>
      <c r="B31" s="41">
        <f t="shared" si="0"/>
        <v>37127</v>
      </c>
      <c r="C31" s="42">
        <f t="shared" si="0"/>
        <v>28270</v>
      </c>
      <c r="D31" s="43">
        <f t="shared" si="1"/>
        <v>1.3133003183586842</v>
      </c>
      <c r="E31" s="44">
        <f t="shared" si="2"/>
        <v>9.6671055106262926</v>
      </c>
      <c r="F31" s="45">
        <f>29852+95</f>
        <v>29947</v>
      </c>
      <c r="G31" s="45">
        <f>24276+95</f>
        <v>24371</v>
      </c>
      <c r="H31" s="46">
        <f t="shared" si="3"/>
        <v>1.2287965204546387</v>
      </c>
      <c r="I31" s="46">
        <f t="shared" si="4"/>
        <v>12.510266518828795</v>
      </c>
      <c r="J31" s="45">
        <f>7142+38</f>
        <v>7180</v>
      </c>
      <c r="K31" s="45">
        <f>3861+38</f>
        <v>3899</v>
      </c>
      <c r="L31" s="43">
        <f t="shared" si="5"/>
        <v>1.8414978199538343</v>
      </c>
      <c r="M31" s="47">
        <f t="shared" si="6"/>
        <v>3.9937722146537333</v>
      </c>
      <c r="N31" s="31">
        <f>27497+26824+26263+28165+29457+29762+26840</f>
        <v>194808</v>
      </c>
      <c r="O31" s="31">
        <f>24159+21009+16931+12532+9076+6202+7718</f>
        <v>97627</v>
      </c>
      <c r="P31" s="31">
        <f>+N31+O31</f>
        <v>292435</v>
      </c>
    </row>
    <row r="32" spans="1:16" x14ac:dyDescent="0.25">
      <c r="B32" s="41"/>
      <c r="C32" s="38"/>
      <c r="D32" s="43"/>
      <c r="E32" s="44"/>
      <c r="F32" s="45"/>
      <c r="G32" s="42"/>
      <c r="H32" s="46"/>
      <c r="I32" s="37"/>
      <c r="J32" s="42"/>
      <c r="K32" s="42"/>
      <c r="L32" s="43"/>
      <c r="M32" s="47"/>
      <c r="N32" s="31"/>
      <c r="O32" s="31"/>
      <c r="P32" s="31"/>
    </row>
    <row r="33" spans="1:16" x14ac:dyDescent="0.25">
      <c r="A33" s="49" t="s">
        <v>34</v>
      </c>
      <c r="B33" s="41">
        <f t="shared" si="0"/>
        <v>50573</v>
      </c>
      <c r="C33" s="42">
        <f t="shared" si="0"/>
        <v>32288</v>
      </c>
      <c r="D33" s="43">
        <f t="shared" si="1"/>
        <v>1.5663094648166502</v>
      </c>
      <c r="E33" s="44">
        <f t="shared" si="2"/>
        <v>18.01916433669853</v>
      </c>
      <c r="F33" s="45">
        <v>34184</v>
      </c>
      <c r="G33" s="45">
        <v>23197</v>
      </c>
      <c r="H33" s="46">
        <f t="shared" si="3"/>
        <v>1.4736388326076648</v>
      </c>
      <c r="I33" s="46">
        <f t="shared" si="4"/>
        <v>19.246789021273774</v>
      </c>
      <c r="J33" s="45">
        <v>16389</v>
      </c>
      <c r="K33" s="45">
        <v>9091</v>
      </c>
      <c r="L33" s="43">
        <f t="shared" si="5"/>
        <v>1.8027719722802773</v>
      </c>
      <c r="M33" s="47">
        <f t="shared" si="6"/>
        <v>15.496991289228305</v>
      </c>
      <c r="N33" s="31">
        <f>23194+21914+20196+18771+14281+11353+10815</f>
        <v>120524</v>
      </c>
      <c r="O33" s="31">
        <f>10733+11068+10022+8206+6444+5353+6837</f>
        <v>58663</v>
      </c>
      <c r="P33" s="31">
        <f>+N33+O33</f>
        <v>179187</v>
      </c>
    </row>
    <row r="34" spans="1:16" x14ac:dyDescent="0.25">
      <c r="B34" s="41"/>
      <c r="C34" s="42"/>
      <c r="D34" s="43"/>
      <c r="E34" s="44"/>
      <c r="F34" s="45"/>
      <c r="G34" s="42"/>
      <c r="H34" s="46"/>
      <c r="I34" s="46"/>
      <c r="J34" s="42"/>
      <c r="K34" s="42"/>
      <c r="L34" s="43"/>
      <c r="M34" s="47"/>
      <c r="N34" s="31"/>
      <c r="O34" s="31"/>
      <c r="P34" s="31"/>
    </row>
    <row r="35" spans="1:16" x14ac:dyDescent="0.25">
      <c r="A35" s="49" t="s">
        <v>35</v>
      </c>
      <c r="B35" s="41">
        <f t="shared" si="0"/>
        <v>3697</v>
      </c>
      <c r="C35" s="42">
        <f t="shared" si="0"/>
        <v>3487</v>
      </c>
      <c r="D35" s="43">
        <f t="shared" si="1"/>
        <v>1.0602236879839404</v>
      </c>
      <c r="E35" s="44">
        <f t="shared" si="2"/>
        <v>12.11310661062285</v>
      </c>
      <c r="F35" s="45">
        <v>2502</v>
      </c>
      <c r="G35" s="45">
        <v>2387</v>
      </c>
      <c r="H35" s="46">
        <f t="shared" si="3"/>
        <v>1.0481776288227902</v>
      </c>
      <c r="I35" s="46">
        <f t="shared" si="4"/>
        <v>11.427613941018768</v>
      </c>
      <c r="J35" s="45">
        <v>1195</v>
      </c>
      <c r="K35" s="45">
        <v>1100</v>
      </c>
      <c r="L35" s="43">
        <f t="shared" si="5"/>
        <v>1.0863636363636364</v>
      </c>
      <c r="M35" s="47">
        <f t="shared" si="6"/>
        <v>13.925813394100519</v>
      </c>
      <c r="N35" s="31">
        <f>5402+4731+4022+2768+1491+1220+1254</f>
        <v>20888</v>
      </c>
      <c r="O35" s="31">
        <f>1223+1337+1266+1192+1133+813+935</f>
        <v>7899</v>
      </c>
      <c r="P35" s="31">
        <f>+N35+O35</f>
        <v>28787</v>
      </c>
    </row>
    <row r="36" spans="1:16" x14ac:dyDescent="0.25">
      <c r="A36" s="49"/>
      <c r="B36" s="41"/>
      <c r="C36" s="42"/>
      <c r="D36" s="43"/>
      <c r="E36" s="44"/>
      <c r="F36" s="45"/>
      <c r="G36" s="42"/>
      <c r="H36" s="46"/>
      <c r="I36" s="46"/>
      <c r="J36" s="42"/>
      <c r="K36" s="42"/>
      <c r="L36" s="43"/>
      <c r="M36" s="47"/>
      <c r="N36" s="31"/>
      <c r="O36" s="31"/>
      <c r="P36" s="31"/>
    </row>
    <row r="37" spans="1:16" x14ac:dyDescent="0.25">
      <c r="A37" s="49" t="s">
        <v>36</v>
      </c>
      <c r="B37" s="41">
        <f t="shared" si="0"/>
        <v>8232</v>
      </c>
      <c r="C37" s="42">
        <f t="shared" si="0"/>
        <v>6924</v>
      </c>
      <c r="D37" s="43">
        <f t="shared" si="1"/>
        <v>1.1889081455805892</v>
      </c>
      <c r="E37" s="44">
        <f t="shared" si="2"/>
        <v>5.4682008797769761</v>
      </c>
      <c r="F37" s="45">
        <v>6063</v>
      </c>
      <c r="G37" s="45">
        <v>5153</v>
      </c>
      <c r="H37" s="46">
        <f t="shared" si="3"/>
        <v>1.1765961575781099</v>
      </c>
      <c r="I37" s="46">
        <f t="shared" si="4"/>
        <v>4.9036494266546136</v>
      </c>
      <c r="J37" s="45">
        <v>2169</v>
      </c>
      <c r="K37" s="45">
        <v>1771</v>
      </c>
      <c r="L37" s="43">
        <f t="shared" si="5"/>
        <v>1.2247317899491812</v>
      </c>
      <c r="M37" s="47">
        <f t="shared" si="6"/>
        <v>8.2226762002042904</v>
      </c>
      <c r="N37" s="31">
        <f>25767+21483+19324+14717+9929+7535+6330</f>
        <v>105085</v>
      </c>
      <c r="O37" s="31">
        <f>4866+4628+3799+3025+2132+1556+1532</f>
        <v>21538</v>
      </c>
      <c r="P37" s="31">
        <f>+N37+O37</f>
        <v>126623</v>
      </c>
    </row>
    <row r="38" spans="1:16" x14ac:dyDescent="0.25">
      <c r="B38" s="41"/>
      <c r="C38" s="42"/>
      <c r="D38" s="43"/>
      <c r="E38" s="44"/>
      <c r="F38" s="53"/>
      <c r="G38" s="54"/>
      <c r="H38" s="46"/>
      <c r="I38" s="46"/>
      <c r="J38" s="54"/>
      <c r="K38" s="54"/>
      <c r="L38" s="43"/>
      <c r="M38" s="47"/>
    </row>
    <row r="39" spans="1:16" ht="16.5" thickBot="1" x14ac:dyDescent="0.3">
      <c r="A39" s="55" t="s">
        <v>37</v>
      </c>
      <c r="B39" s="56">
        <f t="shared" si="0"/>
        <v>67851</v>
      </c>
      <c r="C39" s="57">
        <f t="shared" si="0"/>
        <v>36709</v>
      </c>
      <c r="D39" s="58">
        <f t="shared" si="1"/>
        <v>1.8483478166117302</v>
      </c>
      <c r="E39" s="59">
        <f t="shared" si="2"/>
        <v>8.1774358106151404</v>
      </c>
      <c r="F39" s="60">
        <v>51443</v>
      </c>
      <c r="G39" s="60">
        <v>29160</v>
      </c>
      <c r="H39" s="61">
        <f t="shared" si="3"/>
        <v>1.7641632373113854</v>
      </c>
      <c r="I39" s="61">
        <f t="shared" si="4"/>
        <v>9.1430721474931804</v>
      </c>
      <c r="J39" s="60">
        <v>16408</v>
      </c>
      <c r="K39" s="60">
        <v>7549</v>
      </c>
      <c r="L39" s="58">
        <f t="shared" si="5"/>
        <v>2.1735329182673202</v>
      </c>
      <c r="M39" s="62">
        <f t="shared" si="6"/>
        <v>5.8079953222133316</v>
      </c>
      <c r="N39" s="31">
        <f>45752+44916+41786+44206+47945+49889+44436</f>
        <v>318930</v>
      </c>
      <c r="O39" s="31">
        <f>36269+28180+20994+15432+11305+7945+9851</f>
        <v>129976</v>
      </c>
      <c r="P39" s="31">
        <f>+N39+O39</f>
        <v>448906</v>
      </c>
    </row>
    <row r="40" spans="1:16" ht="16.5" thickTop="1" x14ac:dyDescent="0.25">
      <c r="A40" s="63" t="s">
        <v>38</v>
      </c>
      <c r="B40" s="64"/>
      <c r="C40" s="64"/>
      <c r="D40" s="65"/>
      <c r="E40" s="65"/>
      <c r="F40" s="64"/>
      <c r="G40" s="64"/>
      <c r="H40" s="66"/>
      <c r="I40" s="66"/>
      <c r="J40" s="64"/>
      <c r="K40" s="64"/>
      <c r="L40" s="65"/>
      <c r="M40" s="65"/>
      <c r="N40" s="31"/>
      <c r="O40" s="31"/>
      <c r="P40" s="31"/>
    </row>
    <row r="41" spans="1:16" x14ac:dyDescent="0.25">
      <c r="A41" s="67" t="s">
        <v>39</v>
      </c>
      <c r="B41" s="68"/>
      <c r="C41" s="68"/>
      <c r="D41" s="69"/>
      <c r="E41" s="69"/>
      <c r="F41" s="68"/>
      <c r="G41" s="68"/>
      <c r="H41" s="70"/>
      <c r="I41" s="70"/>
      <c r="J41" s="71"/>
      <c r="K41" s="68"/>
      <c r="L41" s="70"/>
      <c r="M41" s="70"/>
    </row>
    <row r="42" spans="1:16" x14ac:dyDescent="0.25">
      <c r="A42" s="49" t="s">
        <v>40</v>
      </c>
      <c r="B42" s="68"/>
      <c r="C42" s="68"/>
      <c r="D42" s="69"/>
      <c r="E42" s="69"/>
      <c r="F42" s="68"/>
      <c r="G42" s="68"/>
      <c r="H42" s="70"/>
      <c r="I42" s="70"/>
      <c r="J42" s="71"/>
      <c r="K42" s="68"/>
      <c r="L42" s="70"/>
      <c r="M42" s="70"/>
    </row>
    <row r="43" spans="1:16" x14ac:dyDescent="0.25">
      <c r="A43" s="67" t="s">
        <v>41</v>
      </c>
      <c r="B43" s="68"/>
      <c r="C43" s="68"/>
      <c r="D43" s="69"/>
      <c r="E43" s="69"/>
      <c r="F43" s="68"/>
      <c r="G43" s="68"/>
      <c r="H43" s="70"/>
      <c r="I43" s="70"/>
      <c r="J43" s="71"/>
      <c r="K43" s="68"/>
      <c r="L43" s="70"/>
      <c r="M43" s="70"/>
    </row>
    <row r="44" spans="1:16" x14ac:dyDescent="0.25">
      <c r="A44" s="49" t="s">
        <v>42</v>
      </c>
      <c r="B44" s="68"/>
      <c r="C44" s="68"/>
      <c r="D44" s="69"/>
      <c r="E44" s="69"/>
      <c r="F44" s="68"/>
      <c r="G44" s="68"/>
      <c r="H44" s="70"/>
      <c r="I44" s="70"/>
      <c r="J44" s="68"/>
      <c r="K44" s="68"/>
      <c r="L44" s="70"/>
      <c r="M44" s="70"/>
    </row>
    <row r="45" spans="1:16" x14ac:dyDescent="0.25">
      <c r="A45" s="67" t="s">
        <v>43</v>
      </c>
      <c r="B45" s="68"/>
      <c r="C45" s="68"/>
      <c r="D45" s="69"/>
      <c r="E45" s="69"/>
      <c r="F45" s="68"/>
      <c r="G45" s="68"/>
      <c r="H45" s="70"/>
      <c r="I45" s="70"/>
      <c r="J45" s="68"/>
      <c r="K45" s="68"/>
      <c r="L45" s="70"/>
      <c r="M45" s="70"/>
    </row>
    <row r="46" spans="1:16" x14ac:dyDescent="0.25">
      <c r="A46" s="49" t="s">
        <v>44</v>
      </c>
      <c r="B46" s="68"/>
      <c r="C46" s="68"/>
      <c r="D46" s="69"/>
      <c r="E46" s="69"/>
      <c r="F46" s="68"/>
      <c r="G46" s="68"/>
      <c r="H46" s="70"/>
      <c r="I46" s="70"/>
      <c r="J46" s="68"/>
      <c r="K46" s="68"/>
      <c r="L46" s="70"/>
      <c r="M46" s="70"/>
    </row>
    <row r="47" spans="1:16" x14ac:dyDescent="0.25">
      <c r="A47" s="72" t="s">
        <v>45</v>
      </c>
      <c r="B47" s="68"/>
      <c r="C47" s="68"/>
      <c r="D47" s="69"/>
      <c r="E47" s="69"/>
      <c r="F47" s="68"/>
      <c r="G47" s="68"/>
      <c r="H47" s="70"/>
      <c r="I47" s="70"/>
      <c r="J47" s="68"/>
      <c r="K47" s="68"/>
      <c r="L47" s="70"/>
      <c r="M47" s="70"/>
    </row>
    <row r="48" spans="1:16" x14ac:dyDescent="0.25">
      <c r="A48" s="73" t="s">
        <v>46</v>
      </c>
      <c r="B48" s="68"/>
      <c r="C48" s="68"/>
      <c r="D48" s="70"/>
      <c r="E48" s="70"/>
      <c r="F48" s="68"/>
      <c r="G48" s="68"/>
      <c r="H48" s="70"/>
      <c r="I48" s="70"/>
      <c r="J48" s="68"/>
      <c r="K48" s="68"/>
      <c r="L48" s="70"/>
      <c r="M48" s="70"/>
    </row>
    <row r="49" spans="2:13" x14ac:dyDescent="0.25">
      <c r="B49" s="68"/>
      <c r="C49" s="68"/>
      <c r="D49" s="70"/>
      <c r="E49" s="70"/>
      <c r="F49" s="68"/>
      <c r="G49" s="68"/>
      <c r="H49" s="70"/>
      <c r="I49" s="70"/>
      <c r="J49" s="68"/>
      <c r="K49" s="68"/>
      <c r="L49" s="70"/>
      <c r="M49" s="70"/>
    </row>
    <row r="50" spans="2:13" x14ac:dyDescent="0.25">
      <c r="B50" s="68"/>
      <c r="C50" s="68"/>
      <c r="D50" s="70"/>
      <c r="E50" s="70"/>
      <c r="F50" s="68"/>
      <c r="G50" s="68"/>
      <c r="H50" s="70"/>
      <c r="I50" s="70"/>
      <c r="J50" s="68"/>
      <c r="K50" s="68"/>
      <c r="L50" s="70"/>
      <c r="M50" s="70"/>
    </row>
    <row r="51" spans="2:13" x14ac:dyDescent="0.25">
      <c r="B51" s="68"/>
      <c r="C51" s="68"/>
      <c r="D51" s="70"/>
      <c r="E51" s="70"/>
      <c r="F51" s="68"/>
      <c r="G51" s="68"/>
      <c r="H51" s="70"/>
      <c r="I51" s="70"/>
      <c r="J51" s="68"/>
      <c r="K51" s="68"/>
      <c r="L51" s="70"/>
      <c r="M51" s="70"/>
    </row>
    <row r="52" spans="2:13" x14ac:dyDescent="0.25">
      <c r="B52" s="68"/>
      <c r="C52" s="68"/>
      <c r="D52" s="70"/>
      <c r="E52" s="70"/>
      <c r="F52" s="68"/>
      <c r="G52" s="68"/>
      <c r="H52" s="70"/>
      <c r="I52" s="70"/>
      <c r="J52" s="68"/>
      <c r="K52" s="68"/>
      <c r="L52" s="70"/>
      <c r="M52" s="70"/>
    </row>
    <row r="53" spans="2:13" x14ac:dyDescent="0.25">
      <c r="B53" s="68"/>
      <c r="C53" s="68"/>
      <c r="D53" s="70"/>
      <c r="E53" s="70"/>
      <c r="F53" s="68"/>
      <c r="G53" s="68"/>
      <c r="H53" s="70"/>
      <c r="I53" s="70"/>
      <c r="J53" s="68"/>
      <c r="K53" s="68"/>
      <c r="L53" s="70"/>
      <c r="M53" s="70"/>
    </row>
    <row r="54" spans="2:13" x14ac:dyDescent="0.25">
      <c r="B54" s="68"/>
      <c r="C54" s="68"/>
      <c r="D54" s="70"/>
      <c r="E54" s="70"/>
      <c r="F54" s="68"/>
      <c r="G54" s="68"/>
      <c r="H54" s="70"/>
      <c r="I54" s="70"/>
      <c r="J54" s="68"/>
      <c r="K54" s="68"/>
      <c r="L54" s="70"/>
      <c r="M54" s="70"/>
    </row>
    <row r="55" spans="2:13" x14ac:dyDescent="0.25">
      <c r="B55" s="68"/>
      <c r="C55" s="68"/>
      <c r="D55" s="70"/>
      <c r="E55" s="70"/>
      <c r="F55" s="68"/>
      <c r="G55" s="68"/>
      <c r="H55" s="70"/>
      <c r="I55" s="70"/>
      <c r="J55" s="68"/>
      <c r="K55" s="68"/>
      <c r="L55" s="70"/>
      <c r="M55" s="70"/>
    </row>
    <row r="56" spans="2:13" x14ac:dyDescent="0.25">
      <c r="B56" s="68"/>
      <c r="C56" s="68"/>
      <c r="D56" s="70"/>
      <c r="E56" s="70"/>
      <c r="F56" s="68"/>
      <c r="G56" s="68"/>
      <c r="H56" s="70"/>
      <c r="I56" s="70"/>
      <c r="J56" s="68"/>
      <c r="K56" s="68"/>
      <c r="L56" s="70"/>
      <c r="M56" s="70"/>
    </row>
    <row r="57" spans="2:13" x14ac:dyDescent="0.25">
      <c r="B57" s="68"/>
      <c r="C57" s="68"/>
      <c r="D57" s="70"/>
      <c r="E57" s="70"/>
      <c r="F57" s="68"/>
      <c r="G57" s="68"/>
      <c r="H57" s="70"/>
      <c r="I57" s="70"/>
      <c r="J57" s="68"/>
      <c r="K57" s="68"/>
      <c r="L57" s="70"/>
      <c r="M57" s="70"/>
    </row>
    <row r="58" spans="2:13" x14ac:dyDescent="0.25">
      <c r="D58" s="70"/>
      <c r="E58" s="70"/>
      <c r="L58" s="70"/>
      <c r="M58" s="70"/>
    </row>
    <row r="59" spans="2:13" x14ac:dyDescent="0.25">
      <c r="D59" s="70"/>
      <c r="E59" s="70"/>
      <c r="L59" s="70"/>
      <c r="M59" s="70"/>
    </row>
    <row r="60" spans="2:13" x14ac:dyDescent="0.25">
      <c r="D60" s="70"/>
      <c r="E60" s="70"/>
      <c r="L60" s="70"/>
      <c r="M60" s="70"/>
    </row>
    <row r="61" spans="2:13" x14ac:dyDescent="0.25">
      <c r="D61" s="70"/>
      <c r="E61" s="70"/>
      <c r="L61" s="70"/>
      <c r="M61" s="70"/>
    </row>
    <row r="62" spans="2:13" x14ac:dyDescent="0.25">
      <c r="D62" s="70"/>
      <c r="E62" s="70"/>
      <c r="L62" s="70"/>
      <c r="M62" s="70"/>
    </row>
    <row r="63" spans="2:13" x14ac:dyDescent="0.25">
      <c r="D63" s="70"/>
      <c r="E63" s="70"/>
      <c r="L63" s="70"/>
      <c r="M63" s="70"/>
    </row>
    <row r="64" spans="2:13" x14ac:dyDescent="0.25">
      <c r="D64" s="70"/>
      <c r="E64" s="70"/>
      <c r="L64" s="70"/>
      <c r="M64" s="70"/>
    </row>
    <row r="65" spans="4:13" x14ac:dyDescent="0.25">
      <c r="D65" s="70"/>
      <c r="E65" s="70"/>
      <c r="L65" s="70"/>
      <c r="M65" s="70"/>
    </row>
    <row r="66" spans="4:13" x14ac:dyDescent="0.25">
      <c r="D66" s="70"/>
      <c r="E66" s="70"/>
      <c r="L66" s="70"/>
      <c r="M66" s="70"/>
    </row>
    <row r="67" spans="4:13" x14ac:dyDescent="0.25">
      <c r="D67" s="70"/>
      <c r="E67" s="70"/>
      <c r="L67" s="70"/>
      <c r="M67" s="70"/>
    </row>
    <row r="68" spans="4:13" x14ac:dyDescent="0.25">
      <c r="D68" s="70"/>
      <c r="E68" s="70"/>
      <c r="L68" s="70"/>
      <c r="M68" s="70"/>
    </row>
    <row r="69" spans="4:13" x14ac:dyDescent="0.25">
      <c r="D69" s="70"/>
      <c r="E69" s="70"/>
      <c r="L69" s="70"/>
      <c r="M69" s="70"/>
    </row>
    <row r="70" spans="4:13" x14ac:dyDescent="0.25">
      <c r="D70" s="70"/>
      <c r="E70" s="70"/>
      <c r="L70" s="70"/>
      <c r="M70" s="70"/>
    </row>
    <row r="71" spans="4:13" x14ac:dyDescent="0.25">
      <c r="D71" s="70"/>
      <c r="E71" s="70"/>
      <c r="L71" s="70"/>
      <c r="M71" s="70"/>
    </row>
    <row r="72" spans="4:13" x14ac:dyDescent="0.25">
      <c r="D72" s="70"/>
      <c r="E72" s="70"/>
      <c r="L72" s="70"/>
      <c r="M72" s="70"/>
    </row>
    <row r="73" spans="4:13" x14ac:dyDescent="0.25">
      <c r="D73" s="70"/>
      <c r="E73" s="70"/>
      <c r="L73" s="70"/>
      <c r="M73" s="70"/>
    </row>
    <row r="74" spans="4:13" x14ac:dyDescent="0.25">
      <c r="D74" s="70"/>
      <c r="E74" s="70"/>
      <c r="L74" s="70"/>
      <c r="M74" s="70"/>
    </row>
    <row r="75" spans="4:13" x14ac:dyDescent="0.25">
      <c r="D75" s="70"/>
      <c r="E75" s="70"/>
      <c r="L75" s="70"/>
      <c r="M75" s="70"/>
    </row>
    <row r="76" spans="4:13" x14ac:dyDescent="0.25">
      <c r="D76" s="70"/>
      <c r="E76" s="70"/>
      <c r="L76" s="70"/>
      <c r="M76" s="70"/>
    </row>
    <row r="77" spans="4:13" x14ac:dyDescent="0.25">
      <c r="D77" s="70"/>
      <c r="L77" s="70"/>
      <c r="M77" s="70"/>
    </row>
    <row r="78" spans="4:13" x14ac:dyDescent="0.25">
      <c r="D78" s="70"/>
      <c r="L78" s="70"/>
      <c r="M78" s="70"/>
    </row>
  </sheetData>
  <mergeCells count="7">
    <mergeCell ref="A1:M1"/>
    <mergeCell ref="A2:M2"/>
    <mergeCell ref="A4:A6"/>
    <mergeCell ref="B4:E5"/>
    <mergeCell ref="F4:M4"/>
    <mergeCell ref="F5:I5"/>
    <mergeCell ref="J5:M5"/>
  </mergeCells>
  <printOptions horizontalCentered="1"/>
  <pageMargins left="0.59055118110236227" right="0.59055118110236227" top="0.98425196850393704" bottom="0.98425196850393704" header="0.51181102362204722" footer="0.55118110236220474"/>
  <pageSetup scale="61" orientation="landscape" horizontalDpi="36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C33</vt:lpstr>
      <vt:lpstr>'C33'!A_impresión_IM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Anayansi Tejada</dc:creator>
  <cp:lastModifiedBy>Anayansi Tejada</cp:lastModifiedBy>
  <dcterms:created xsi:type="dcterms:W3CDTF">2021-03-17T20:02:01Z</dcterms:created>
  <dcterms:modified xsi:type="dcterms:W3CDTF">2021-03-17T20:02:27Z</dcterms:modified>
</cp:coreProperties>
</file>